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0640" windowHeight="117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<sst xmlns="http://schemas.openxmlformats.org/spreadsheetml/2006/main" count="19003" uniqueCount="2872">
  <si>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</si>
  <si>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</si>
  <si>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</si>
  <si>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</si>
  <si>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</si>
  <si>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</si>
  <si>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</si>
  <si>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</si>
  <si>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</si>
  <si>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</si>
  <si>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</si>
  <si>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</si>
  <si>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</si>
  <si>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</si>
  <si>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</si>
  <si>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</si>
  <si>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</si>
  <si>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</si>
  <si>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</si>
  <si>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</si>
  <si>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</si>
  <si>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</si>
  <si>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</si>
  <si>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</si>
  <si>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</si>
  <si>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</si>
  <si>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</si>
  <si>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</si>
  <si>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</si>
  <si>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</si>
  <si>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</si>
  <si>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</si>
  <si>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</si>
  <si>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</si>
  <si>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</si>
  <si>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</si>
  <si>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</si>
  <si>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</si>
  <si>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</si>
  <si>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</si>
  <si>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</si>
  <si>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</si>
  <si>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</si>
  <si>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</si>
  <si>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</si>
  <si>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</si>
  <si>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</si>
  <si>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</si>
  <si>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</si>
  <si>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</si>
  <si>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</si>
  <si>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</si>
  <si>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</si>
  <si>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</si>
  <si>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</si>
  <si>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</si>
  <si>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</si>
  <si>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</si>
  <si>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</si>
  <si>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</si>
  <si>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</si>
  <si>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</si>
  <si>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</si>
  <si>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</si>
  <si>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</si>
  <si>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</si>
  <si>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</si>
  <si>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</si>
  <si>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</si>
  <si>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</si>
  <si>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</si>
  <si>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</si>
  <si>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</si>
  <si>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</si>
  <si>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</si>
  <si>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</si>
  <si>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</si>
  <si>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</si>
  <si>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</si>
  <si>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</si>
  <si>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</si>
  <si>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</si>
  <si>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</si>
  <si>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</si>
  <si>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</si>
  <si>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</si>
  <si>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</si>
  <si>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</si>
  <si>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</si>
  <si>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</si>
  <si>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</si>
  <si>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</si>
  <si>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</si>
  <si>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</si>
  <si>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</si>
  <si>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</si>
  <si>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</si>
  <si>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</si>
  <si>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</si>
  <si>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</si>
  <si>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</si>
  <si>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</si>
  <si>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</si>
  <si>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</si>
  <si>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</si>
  <si>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</si>
  <si>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</si>
  <si>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</si>
  <si>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</si>
  <si>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</si>
  <si>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</si>
  <si>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</si>
  <si>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</si>
  <si>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</si>
  <si>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</si>
  <si>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</si>
  <si>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</si>
  <si>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</si>
  <si>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</si>
  <si>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</si>
  <si>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</si>
  <si>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</si>
  <si>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</si>
  <si>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</si>
  <si>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</si>
  <si>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</si>
  <si>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</si>
  <si>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</si>
  <si>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</si>
  <si>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</si>
  <si>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</si>
  <si>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</si>
  <si>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</si>
  <si>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</si>
  <si>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</si>
  <si>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</si>
  <si>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</si>
  <si>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</si>
  <si>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</si>
  <si>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</si>
  <si>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</si>
  <si>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</si>
  <si>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</si>
  <si>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</si>
  <si>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</si>
  <si>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</si>
  <si>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</si>
  <si>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</si>
  <si>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</si>
  <si>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</si>
  <si>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</si>
  <si>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</si>
  <si>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</si>
  <si>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</si>
  <si>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</si>
  <si>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</si>
  <si>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</si>
  <si>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</si>
  <si>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</si>
  <si>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</si>
  <si>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</si>
  <si>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</si>
  <si>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</si>
  <si>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</si>
  <si>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</si>
  <si>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</si>
  <si>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</si>
  <si>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</si>
  <si>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</si>
  <si>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</si>
  <si>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</si>
  <si>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</si>
  <si>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</si>
  <si>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</si>
  <si>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</si>
  <si>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</si>
  <si>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</si>
  <si>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</si>
  <si>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</si>
  <si>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</si>
  <si>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</si>
  <si>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</si>
  <si>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</si>
  <si>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</si>
  <si>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</si>
  <si>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</si>
  <si>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</si>
  <si>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</si>
  <si>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</si>
  <si>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</si>
  <si>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</si>
  <si>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</si>
  <si>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</si>
  <si>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</si>
  <si>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</si>
  <si>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</si>
  <si>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</si>
  <si>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</si>
  <si>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</si>
  <si>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</si>
  <si>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</si>
  <si>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</si>
  <si>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</si>
  <si>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</si>
  <si>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</si>
  <si>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</si>
  <si>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</si>
  <si>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</si>
  <si>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</si>
  <si>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</si>
  <si>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</si>
  <si>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</si>
  <si>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</si>
  <si>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</si>
  <si>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</si>
  <si>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</si>
  <si>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</si>
  <si>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</si>
  <si>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</si>
  <si>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</si>
  <si>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</si>
  <si>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</si>
  <si>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</si>
  <si>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</si>
  <si>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</si>
  <si>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</si>
  <si>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</si>
  <si>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</si>
  <si>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</si>
  <si>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</si>
  <si>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</si>
  <si>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</si>
  <si>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</si>
  <si>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</si>
  <si>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plantfinance</t>
  </si>
  <si>
    <t>jeremyszafron</t>
  </si>
  <si>
    <t>michelersimon</t>
  </si>
  <si>
    <t>foodpreneurscom</t>
  </si>
  <si>
    <t>meganpoinski</t>
  </si>
  <si>
    <t>welllibrarian</t>
  </si>
  <si>
    <t>meatpoultry</t>
  </si>
  <si>
    <t>b1allpurpose</t>
  </si>
  <si>
    <t>joshuamarch</t>
  </si>
  <si>
    <t>chill_purr</t>
  </si>
  <si>
    <t>smperimeter</t>
  </si>
  <si>
    <t>asifood</t>
  </si>
  <si>
    <t>sirlambomoon</t>
  </si>
  <si>
    <t>whatisayisnt</t>
  </si>
  <si>
    <t>greenative_co</t>
  </si>
  <si>
    <t>ffoodinstitute</t>
  </si>
  <si>
    <t>alephfarms</t>
  </si>
  <si>
    <t>drpaulbartels1</t>
  </si>
  <si>
    <t>ironstar95</t>
  </si>
  <si>
    <t>blacksmithapps</t>
  </si>
  <si>
    <t>80000hours</t>
  </si>
  <si>
    <t>robertwiblin</t>
  </si>
  <si>
    <t>simonfriederich</t>
  </si>
  <si>
    <t>joyancepartners</t>
  </si>
  <si>
    <t>goodfoodinst</t>
  </si>
  <si>
    <t>profjbmatthews</t>
  </si>
  <si>
    <t>positiveradio</t>
  </si>
  <si>
    <t>hakangunery_</t>
  </si>
  <si>
    <t>susanamdeleon2</t>
  </si>
  <si>
    <t>moh_nis</t>
  </si>
  <si>
    <t>world_news_eng</t>
  </si>
  <si>
    <t>ezeonufo</t>
  </si>
  <si>
    <t>deucejaxon</t>
  </si>
  <si>
    <t>andrew41544161</t>
  </si>
  <si>
    <t>y_supansa</t>
  </si>
  <si>
    <t>marionnestle</t>
  </si>
  <si>
    <t>jessica_raneri</t>
  </si>
  <si>
    <t>gregory_chupa</t>
  </si>
  <si>
    <t>glorydey1</t>
  </si>
  <si>
    <t>steve_ia_hill</t>
  </si>
  <si>
    <t>ozzyconda</t>
  </si>
  <si>
    <t>vectorresearch</t>
  </si>
  <si>
    <t>lizmarsfilm</t>
  </si>
  <si>
    <t>toshichimura</t>
  </si>
  <si>
    <t>audreyeseybold</t>
  </si>
  <si>
    <t>jantjieskyle</t>
  </si>
  <si>
    <t>avf_scooby2000</t>
  </si>
  <si>
    <t>culinarycultur1</t>
  </si>
  <si>
    <t>sial_america</t>
  </si>
  <si>
    <t>ra_mc</t>
  </si>
  <si>
    <t>3dprintmaven</t>
  </si>
  <si>
    <t>mslisawilliams</t>
  </si>
  <si>
    <t>geneticliteracy</t>
  </si>
  <si>
    <t>vsnnj</t>
  </si>
  <si>
    <t>verdantsquare</t>
  </si>
  <si>
    <t>vsnpenn</t>
  </si>
  <si>
    <t>veganinsight</t>
  </si>
  <si>
    <t>moongin2100</t>
  </si>
  <si>
    <t>ings4palin</t>
  </si>
  <si>
    <t>shauncoffey</t>
  </si>
  <si>
    <t>asimkha02399869</t>
  </si>
  <si>
    <t>ksmohamed_sunil</t>
  </si>
  <si>
    <t>hana_soul_hack</t>
  </si>
  <si>
    <t>travermadondo</t>
  </si>
  <si>
    <t>greenassam</t>
  </si>
  <si>
    <t>georgerowell12</t>
  </si>
  <si>
    <t>sadam08499791</t>
  </si>
  <si>
    <t>orbitalgardens</t>
  </si>
  <si>
    <t>loucoop18</t>
  </si>
  <si>
    <t>reginabanali</t>
  </si>
  <si>
    <t>ale6altrove</t>
  </si>
  <si>
    <t>pepe_nature</t>
  </si>
  <si>
    <t>sdelagrave</t>
  </si>
  <si>
    <t>paulwood1508</t>
  </si>
  <si>
    <t>carlokarl</t>
  </si>
  <si>
    <t>upcells</t>
  </si>
  <si>
    <t>hoycristel</t>
  </si>
  <si>
    <t>rtopitsch</t>
  </si>
  <si>
    <t>augustakaiserin</t>
  </si>
  <si>
    <t>foodtechmatters</t>
  </si>
  <si>
    <t>jungian_soul</t>
  </si>
  <si>
    <t>ttranpham</t>
  </si>
  <si>
    <t>koelnmesseinc</t>
  </si>
  <si>
    <t>philliprussopov</t>
  </si>
  <si>
    <t>rabigo369</t>
  </si>
  <si>
    <t>vision4future1</t>
  </si>
  <si>
    <t>oracleatmushin</t>
  </si>
  <si>
    <t>deduped_economi</t>
  </si>
  <si>
    <t>jamescounihan1</t>
  </si>
  <si>
    <t>soap0928913</t>
  </si>
  <si>
    <t>parvez_offi</t>
  </si>
  <si>
    <t>monluz2</t>
  </si>
  <si>
    <t>shyshoegazer</t>
  </si>
  <si>
    <t>dd_jessica_</t>
  </si>
  <si>
    <t>earthaccounting</t>
  </si>
  <si>
    <t>shiokmeats</t>
  </si>
  <si>
    <t>kjgheroman</t>
  </si>
  <si>
    <t>grownunder</t>
  </si>
  <si>
    <t>econus</t>
  </si>
  <si>
    <t>jfrusci</t>
  </si>
  <si>
    <t>oikos_solutions</t>
  </si>
  <si>
    <t>tigrinyan</t>
  </si>
  <si>
    <t>jshpigler</t>
  </si>
  <si>
    <t>animalsujet</t>
  </si>
  <si>
    <t>makers_movement</t>
  </si>
  <si>
    <t>vegansfacts</t>
  </si>
  <si>
    <t>kobergcapital</t>
  </si>
  <si>
    <t>economistpods</t>
  </si>
  <si>
    <t>theeconomist</t>
  </si>
  <si>
    <t>leongreyco</t>
  </si>
  <si>
    <t>davehansford4</t>
  </si>
  <si>
    <t>sethduma</t>
  </si>
  <si>
    <t>roslintech</t>
  </si>
  <si>
    <t>craftmeati</t>
  </si>
  <si>
    <t>helikonc</t>
  </si>
  <si>
    <t>greenqueenhk</t>
  </si>
  <si>
    <t>mtffilm</t>
  </si>
  <si>
    <t>fooding1st</t>
  </si>
  <si>
    <t>protein_report</t>
  </si>
  <si>
    <t>skryb</t>
  </si>
  <si>
    <t>ryanbethencourt</t>
  </si>
  <si>
    <t>stevecjjones</t>
  </si>
  <si>
    <t>midoriecosystem</t>
  </si>
  <si>
    <t>rexjeanna</t>
  </si>
  <si>
    <t>kzelickson</t>
  </si>
  <si>
    <t>charlie_runners</t>
  </si>
  <si>
    <t>pietersemarc</t>
  </si>
  <si>
    <t>meatech3d</t>
  </si>
  <si>
    <t>vegnews</t>
  </si>
  <si>
    <t>sophiajennifer5</t>
  </si>
  <si>
    <t>cellagritech</t>
  </si>
  <si>
    <t>hoxtonfarms</t>
  </si>
  <si>
    <t>sallypwynn</t>
  </si>
  <si>
    <t>oupeconomics</t>
  </si>
  <si>
    <t>freewheal</t>
  </si>
  <si>
    <t>barbkiser</t>
  </si>
  <si>
    <t>luxresearch</t>
  </si>
  <si>
    <t>clairececchini</t>
  </si>
  <si>
    <t>leodicaprio</t>
  </si>
  <si>
    <t>mosa_meat</t>
  </si>
  <si>
    <t>fooddive</t>
  </si>
  <si>
    <t>vegconomist</t>
  </si>
  <si>
    <t>missionbarns</t>
  </si>
  <si>
    <t>bluenaluinc</t>
  </si>
  <si>
    <t>jonfasman</t>
  </si>
  <si>
    <t>chuckgrassley</t>
  </si>
  <si>
    <t>upsidefoods</t>
  </si>
  <si>
    <t>umavaleti</t>
  </si>
  <si>
    <t>jacyanthis</t>
  </si>
  <si>
    <t>foodsafetynews</t>
  </si>
  <si>
    <t>joerogan</t>
  </si>
  <si>
    <t>jakecoco</t>
  </si>
  <si>
    <t>44magnumblue1</t>
  </si>
  <si>
    <t>berensonsghost</t>
  </si>
  <si>
    <t>pvtjokerus</t>
  </si>
  <si>
    <t>linkedin</t>
  </si>
  <si>
    <t>aplusk</t>
  </si>
  <si>
    <t>ghgguru</t>
  </si>
  <si>
    <t>david_griso</t>
  </si>
  <si>
    <t>berkeleyrabe</t>
  </si>
  <si>
    <t>anuga</t>
  </si>
  <si>
    <t>soroushjp</t>
  </si>
  <si>
    <t>pacificoaqua_bc</t>
  </si>
  <si>
    <t>philip_ciwf</t>
  </si>
  <si>
    <t>thescotsman</t>
  </si>
  <si>
    <t>themorganics</t>
  </si>
  <si>
    <t>xxzxxzxxzzx</t>
  </si>
  <si>
    <t>eatgourmey</t>
  </si>
  <si>
    <t>comogale</t>
  </si>
  <si>
    <t>newagemeats</t>
  </si>
  <si>
    <t>justegg</t>
  </si>
  <si>
    <t>efwhitton</t>
  </si>
  <si>
    <t>Mentions</t>
  </si>
  <si>
    <t>MentionsInRetweet</t>
  </si>
  <si>
    <t>Retweet</t>
  </si>
  <si>
    <t>Replies to</t>
  </si>
  <si>
    <t>Momentum For Cultured Meat:
A new report from @OUPEconomics unveiled that cell-based meat will make up 9 to 12 percent of consumer demand for meat in 2030 and projected that cultured meat sales will exceed $100B by 2040. 
Lab based meat is the future.</t>
  </si>
  <si>
    <t>@Freewheal Do you know why mung bean would be added to biotech aka cell-based chicken? "Currently, only 70 percent of Eat Just’s Singapore chicken product consists of lab meat." https://t.co/NjKfBLhOsX</t>
  </si>
  <si>
    <t>The term "cultivated meat" seems to be the most popular nomenclature nowadays when compared to other terms such as "cultured" or "cell-based". _xD83E__xDD14_ What's your opinion on this? @GoodFoodInst 
 https://t.co/sZZ3OApVFm</t>
  </si>
  <si>
    <t>75% of companies making meat from cells say "cultivated meat" is the preferred term for their product,  according to a poll from the @GoodFoodInst https://t.co/27m1luSqkL</t>
  </si>
  <si>
    <t>From the Daily ➡️ Startups are serious about cell-based meat production. But challenges lie ahead.
https://t.co/APbwwzI0BI</t>
  </si>
  <si>
    <t>"Can We Enjoy Meat and Seafood and Save the Planet?" ...sort of.  Absolutely nothing wrong with whole foods.  Eating this as a treat, okay.  Bring it on. https://t.co/Th5tYkjmmj</t>
  </si>
  <si>
    <t>Finally the cultivated meat industry starting to come together around the label 'cultivated'. Historically everyone has used different language, which is why journalists are still calling it 'lab grown meat'—which is incorrect, and damaging https://t.co/sF2S9vGVH9</t>
  </si>
  <si>
    <t>@barbkiser I am not aware of any cell based meat sold in supermarkets at this time but:
"Singapore production line includes foetal bovine serum ... A plant-based serum would be used in the next production line"
https://t.co/YgJkXA0jGC</t>
  </si>
  <si>
    <t>The #cellbased #meatinfustry industry still faces a major challenge in regulatory approval, according to a new report from @LuxResearch.
#foodtrends #meatrends #futureoffood
https://t.co/7qGtpVKLYT</t>
  </si>
  <si>
    <t>As new technologies redefine the nature and source of "meat," the question of how cell-based meat and poultry will be labeled is nearing the rulemaking stage. Consumer input will serve as guidance. https://t.co/r6YeogjtAW</t>
  </si>
  <si>
    <t>Lab-Made Dairy Products
You’ve heard of cultured “meat” and Wagyu steaks grown cell by cell in a laboratory, but what about other animal-based foodstuffs? 
#invention  #newinvention #newinventions #newtech #futuretech #newtechnology #futuretechnology
https://t.co/UrQy1TlLTl</t>
  </si>
  <si>
    <t>เปรียบเทียบความเหมือน ความต่าง จุดเด่นและจุดด้อยของ เนื้อจากพืช (Plant-based Meat) และเนื้อสังเคราะห์ (Cell-based Meat) ว่าที่โปรตีนทางเลือกแห่งอนาคต ที่อาจกลายเป็นคำตอบของความยั่งยืนทางอาหาร
#Greenative
#PlantBasedMeat
#CellBasedMeat
อ่านเพิ่มเติมที่ https://t.co/wB9bRoigdW https://t.co/hawb9oDP0h</t>
  </si>
  <si>
    <t>From celebrities to major influencers, we are seeing more and more celebrities investing in upcoming brands.
Recently, @LeoDiCaprio has invested into 2 startups focused on creating cell-based meat alternatives: @AlephFarms and @mosa_meat. 
https://t.co/JVDHnexdG3_xD83D__xDC49_@ClaireCecchini</t>
  </si>
  <si>
    <t>#xprize #CoMogale https://t.co/GFy4uz2DuJ</t>
  </si>
  <si>
    <t>75% of cell-based meat companies prefer the term 'cultivated' for their products
https://t.co/0pZ4UoauQB / @FoodDive</t>
  </si>
  <si>
    <t>A pessimistic 'techno-economic analysis' arguing that cell-based agriculture faces a lot of difficult technical challenges on the path to becoming cost-competitive with factory-farmed meat:
https://t.co/j9pNGx1Owg</t>
  </si>
  <si>
    <t>"Mission Barns raised $24M, w/ plans to upscale its cell-cultured fat technology &amp;amp; build a pilot factory in the Bay Area."
HEROTEIN partners w/ portfolio co. @MissionBarns to bring 1st hybrid cultivated/plant-based meat products to China (via @vegconomist) https://t.co/XSufKpVeML</t>
  </si>
  <si>
    <t>As a matter of FAT, this is a big deal _xD83E__xDDEB__xD83C__xDF54__xD83D__xDD25_
Chinese startup HEROTEIN (formerly known as HERO Protein) has entered into a strategic partnership w/ US-based cultivated fat producer @MissionBarns to launch hybrid cultivated meat/plant-based meat products. https://t.co/QWmFeCF8ah https://t.co/vNvkyWN3Zq</t>
  </si>
  <si>
    <t>The emerging #CultivatedMeat ecosystem in the UK can make the country a “powerhouse for alternative proteins, exporting our products and technology across the globe and reducing the UK’s reliance on imported meat.”'
We couldn't agree more! _xD83D__xDC16__xD83D__xDC04_
https://t.co/JnU3FZvifK</t>
  </si>
  <si>
    <t>One in nine people experience pain after eating. Thanks years of GMO, bio-engineered, cell based and pesticide laden fake meat and food. You've taken bad processed food to a whole new undigestible level. https://t.co/vQF2i5Pqbe</t>
  </si>
  <si>
    <t>cell based 'LAB meat' is not selling so they're going to change the name of this GMO bio-engineered Frankenfood to get you to buy this unhealthy stuff. https://t.co/rOPn15XWub</t>
  </si>
  <si>
    <t>On “Babbage”, with @jonfasman:
- Could lab-grown and plant-based meat be the future of food?
- @GrownUnder explores the merits of vertical farming
- How cell-cultured seafood from @BlueNaluInc could replace traditional fish farming https://t.co/aTDFDZtXLP</t>
  </si>
  <si>
    <t>On “Babbage”, with @jonfasman:
- Could lab-grown and plant-based meat be the future of food?
- @GrownUnder explores the merits of vertical farming
- How cell-cultured seafood from @BlueNaluInc could replace traditional fish farming https://t.co/3PiHMTtzSb</t>
  </si>
  <si>
    <t>Australian Company To Create Cell-Based Meat From 'Exotic' Animals Like Kangaroo And Lion https://t.co/I5LIRuMN9K</t>
  </si>
  <si>
    <t>Meat alternatives: cell-based https://t.co/f3nZ1rBcnT</t>
  </si>
  <si>
    <t>One that’s been used in Singapore but not available here on the market yet is cell-based protein. That’s where you take the cell of an animal — a cow or a pig — and you grow the meat, not the animal, in the lab. So it will be an actual hamburger or a steak. This way you don’t ... https://t.co/aqvVNiK1fe</t>
  </si>
  <si>
    <t>@ChuckGrassley Israeli startup that makes cell-based meat just opened a pilot facility to produce 5,000 slaughter-free burgers a day. The CEO of Cargill recently said that plant-based meat could make up as much as 10 percent of the meat market within a few years. Times are changing, Chuck.</t>
  </si>
  <si>
    <t>What should we call lab meat? Clean meat? Cultivated? Cultured? Cell-based? Lab-grown? https://t.co/matCxnZCPp</t>
  </si>
  <si>
    <t>5 yrs ago we launched our filmmaking journey to chronicle the birth of the “clean” “cultured” “cell-based” “cultivated” meat movement, through the eyes of @UmaValeti and @upsidefoods _xD83C__xDF89_ it’s been well worth it. Do you agree? #MyTwitterAnniversary https://t.co/DW4wbj83y8</t>
  </si>
  <si>
    <t>USDAが培養肉の表記についてパブコメを集めているなか、培養肉メーカーの75%がcultivatedを表記として好ましいと考えているとGFIの調査結果。メーカーからするとそうかもしれないが、cellを入れないのは消費者保護としてまずいので、cell culturedあたりに落ち着くのでは。
https://t.co/6IbEB1UfU9</t>
  </si>
  <si>
    <t>What do you think about cell-based meat?</t>
  </si>
  <si>
    <t>@AudreyESeybold I do not think about cell based meat</t>
  </si>
  <si>
    <t>@jacyanthis 'Cultured' sounds more accurate as to what it is. Lab-grown makes it sound artificial, which it isn't, cell - based meat sounds a little detached.</t>
  </si>
  <si>
    <t>#FoodPoll for you: Would you prefer cell-based meat to be called:
1. Cultivated
2. Cultured
3. Cell-Based
Comment to let us know! #food #alternativeprotien
https://t.co/mQgvasTjkT</t>
  </si>
  <si>
    <t>Ashton Kutcher Joins Cell-Based Meat Company to Develop 3D Bioprinting #3dprinting https://t.co/w5jhFL4ukQ</t>
  </si>
  <si>
    <t>Ashton Kutcher Joins Cell-Based Meat Company to Develop 3D-Bioprinting https://t.co/F4ytExT8Wz https://t.co/jGnc0W2sHN</t>
  </si>
  <si>
    <t>How should cell-based products be labelled? #labmeat @foodsafetynews #labmeat https://t.co/hzPYRUq4ks</t>
  </si>
  <si>
    <t>Ashton Kutcher Joins Cell-Based Meat Company to Develop 3D-Bioprinting https://t.co/vZqMGoETTX https://t.co/1td99WxiV6</t>
  </si>
  <si>
    <t>Ashton Kutcher Joins Cell-Based Meat Company to Develop 3D Bioprinting https://t.co/0jV4K4KR1O</t>
  </si>
  <si>
    <t>Over 95% In #HongKong Want To Try #CellBased Meat and Seafood: Study  https://t.co/qlc90yjxbB https://t.co/ENAQLdzBQr</t>
  </si>
  <si>
    <t>@pvtjokerus
@BerensonsGhost
@44MagnumBlue1
@jakecoco
@joerogan
enjoy your fake elk jerky
https://t.co/MNEereKqfN</t>
  </si>
  <si>
    <t>Check out my latest article: GFI's attempt to dismiss The Counter story on cell-based meat. https://t.co/CCqUmYNu3H via @LinkedIn</t>
  </si>
  <si>
    <t>On “Babbage”, with @jonfasman:
- Could lab-grown and plant-based meat be the future of food?
- @GrownUnder explores the merits of vertical farming
- How cell-cultured seafood from @BlueNaluInc could replace traditional fish farming https://t.co/vSPtHDWAoh</t>
  </si>
  <si>
    <t>Ashton Kutcher Joins Cell-Based Meat Company to Develop 3D Bioprinting https://t.co/oRTSpQDINQ</t>
  </si>
  <si>
    <t>If 3D printed meat made without animals takes off, you might have @aplusk to thank. #AshtonKutcher #slaughterfree @MeaTech3D 
https://t.co/D4Hkw5GiJI</t>
  </si>
  <si>
    <t>On “Babbage”, with @jonfasman:
- Could lab-grown and plant-based meat be the future of food?
- @GrownUnder explores the merits of vertical farming
- How cell-cultured seafood from @BlueNaluInc could replace traditional fish farming https://t.co/k2AeKt6hlz</t>
  </si>
  <si>
    <t>@berkeleyrabe @David_Griso @GHGGuru Have a read of Joe Fassler's article in The Counter cell-based meat at scale is unlikely</t>
  </si>
  <si>
    <t>Cell proliferation, cell differentiation, and ordering of cells (via cellular scaffold or 3D bioprinting) are the general initial steps for 'building' the cell-based meat like cell paste and molded meat.</t>
  </si>
  <si>
    <t>In countries abundant in ocean waters like Japan, Singapore, &amp;amp; the Philippines, farming a microalgae culture on the sea surface to make the essential basal medium in crafting cell-based meat would make this endeavor more feasible that could even make our food security possible.</t>
  </si>
  <si>
    <t>Ashton Kutcher Joins Cell-Based Meat Company to Develop 3D Bioprinting  https://t.co/zWQfO7Pitk via @VegNews</t>
  </si>
  <si>
    <t>Leonardo DiCaprio invests in cell-based meat company Mosa Meat - Food Matters Live https://t.co/P0g4BE6q1y 
Stay ahead of the game and sign-up to our newsletters here: https://t.co/8VvMV4lXB0 https://t.co/KthaJSEhKK</t>
  </si>
  <si>
    <t>Agrifood
- meat and meat processing 
Roll out the cell based meat 
Innovate to Grow: Agrifood: (https://t.co/rL9HNSvbx3) https://t.co/iLuiLLImO5</t>
  </si>
  <si>
    <t>Cell based meat. 
“Australian” companies foreign owned , Victoria seems to be in the lead ..
Most Meat In 2040 'Will Be Vegan Or Cultured - Not From Dead Animals', Says Report https://t.co/ts4RdK08xs</t>
  </si>
  <si>
    <t>Cell-Cultured Meat Could Hit Grocery Stores In Next 5 Years, Predicts Expert - Plant Based News https://t.co/WrhtV9KKFE</t>
  </si>
  <si>
    <t>New leaders on board, parasites. One from the USA ex coke executive.
They are reimagining the demand for traditional &amp;amp; “New sources of protein” 
- cell based meat”
New leaders at Harvest Road https://t.co/GFJOxNUWTa https://t.co/hkdO8TLqhX</t>
  </si>
  <si>
    <t>1950 - grain fed natural beef 
2021 - fact checking the cell based meat.</t>
  </si>
  <si>
    <t>Ashton Kutcher JOINS CELL-BASED MEAT COMPANY TO DEVELOP 3D BIOPRINTING? • https://t.co/oPAroYeeDt • #3Dprinting • ttranpham@azul3d.com • #additivemanufacturing https://t.co/zHtDtXpzat</t>
  </si>
  <si>
    <t>We will look forward to seeing @aplusk and this new Cell-Based Meat Company at a future @anuga. 
https://t.co/J6E8OjWbvZ via @VegNews</t>
  </si>
  <si>
    <t>On “Babbage”, with @jonfasman:
- Could lab-grown and plant-based meat be the future of food?
- @GrownUnder explores the merits of vertical farming
- How cell-cultured seafood from @BlueNaluInc could replace traditional fish farming https://t.co/WVRwLLHuXm</t>
  </si>
  <si>
    <t>@soroushjp Link to coverage: https://t.co/LZZB8Q1LxO )
--
More info on the world's first crab tasting event _xD83E__xDD80_ _xD83D__xDE0B_: https://t.co/Rbfl82NVLF</t>
  </si>
  <si>
    <t>On “Babbage”, with @jonfasman:
- Could lab-grown and plant-based meat be the future of food?
- @GrownUnder explores the merits of vertical farming
- How cell-cultured seafood from @BlueNaluInc could replace traditional fish farming https://t.co/kpXp9xtbo9</t>
  </si>
  <si>
    <t>On “Babbage”, with @jonfasman:
- Could lab-grown and plant-based meat be the future of food?
- @GrownUnder explores the merits of vertical farming
- How cell-cultured seafood from @BlueNaluInc could replace traditional fish farming https://t.co/PknFx1vVb8</t>
  </si>
  <si>
    <t>On “Babbage”, with @jonfasman:
- Could lab-grown and plant-based meat be the future of food?
- @GrownUnder explores the merits of vertical farming
- How cell-cultured seafood from @BlueNaluInc could replace traditional fish farming https://t.co/KHvcW0XqZz</t>
  </si>
  <si>
    <t>On “Babbage”, with @jonfasman:
- Could lab-grown and plant-based meat be the future of food?
- @GrownUnder explores the merits of vertical farming
- How cell-cultured seafood from @BlueNaluInc could replace traditional fish farming https://t.co/iRl0iMSUud</t>
  </si>
  <si>
    <t>On “Babbage”, with @jonfasman:
- Could lab-grown and plant-based meat be the future of food?
- @GrownUnder explores the merits of vertical farming
- How cell-cultured seafood from @BlueNaluInc could replace traditional fish farming https://t.co/h4Dd2NORy3</t>
  </si>
  <si>
    <t>On “Babbage”, with @jonfasman:
- Could lab-grown and plant-based meat be the future of food?
- @GrownUnder explores the merits of vertical farming
- How cell-cultured seafood from @BlueNaluInc could replace traditional fish farming https://t.co/HZbd79PqLo via @EconUS</t>
  </si>
  <si>
    <t>On “Babbage”, with @jonfasman:
- Could lab-grown and plant-based meat be the future of food?
- @GrownUnder explores the merits of vertical farming
- How cell-cultured seafood from @BlueNaluInc could replace traditional fish farming https://t.co/BzANFHmjEz via @EconUS</t>
  </si>
  <si>
    <t>On “Babbage”, with @jonfasman:
- Could lab-grown and plant-based meat be the future of food?
- @GrownUnder explores the merits of vertical farming
- How cell-cultured seafood from @BlueNaluInc could replace traditional fish farming https://t.co/7qAQNujbDd via @EconUS</t>
  </si>
  <si>
    <t>On “Babbage”, with @jonfasman:
- Could lab-grown and plant-based meat be the future of food?
- @GrownUnder explores the merits of vertical farming
- How cell-cultured seafood from @BlueNaluInc could replace traditional fish farming https://t.co/lqWQoDqvr3 via @EconUS</t>
  </si>
  <si>
    <t>On “Babbage”, with @jonfasman:
- Could lab-grown and plant-based meat be the future of food?
- @GrownUnder explores the merits of vertical farming
- How cell-cultured seafood from @BlueNaluInc could replace traditional fish farming https://t.co/q0nTepJ65I via @EconUS</t>
  </si>
  <si>
    <t>On “Babbage”, with @jonfasman:
- Could lab-grown and plant-based meat be the future of food?
- @GrownUnder explores the merits of vertical farming
- How cell-cultured seafood from @BlueNaluInc could replace traditional fish farming https://t.co/HzmfmsHqLS via @EconUS</t>
  </si>
  <si>
    <t>On “Babbage”, with @jonfasman:
- Could lab-grown and plant-based meat be the future of food?
- @GrownUnder explores the merits of vertical farming
- How cell-cultured seafood from @BlueNaluInc could replace traditional fish farming https://t.co/oHLccK4BSA</t>
  </si>
  <si>
    <t>"67% of people in the study said they were highly likely to try plant-based meat — for cell-cultured, the figure was 60%. 59% and 53% were highly likely to purchase plant-based and cell-cultured meat respectively."
https://t.co/8TvsZFHId4</t>
  </si>
  <si>
    <t>Ashton Kutcher Group Teams with Bioprinted Alt Meat Startup MeaTech   At the forefront of the cultured meat revolution, MeaTech develops 3D bioprinting technologies to produce premium industrial animal cell-based meat cuts as a sustainable alternative to… https://t.co/bpjGbtNwN2 https://t.co/wh1F97P19q</t>
  </si>
  <si>
    <t>ASHTON KUTCHER JOINS CELL-BASED MEAT COMPANY TO DEVELOP 3D BIOPRINTING
#vegan #plantbased #vegano #veganism https://t.co/eHx09NkQ1d</t>
  </si>
  <si>
    <t>Our belief is that through more investment and scientific development of these products, we stand a better chance of transitioning current meat eaters to cell or plant-based meat, faster. Better meat, better world.</t>
  </si>
  <si>
    <t>On “Babbage”, with @jonfasman:
- Could lab-grown and plant-based meat be the future of food?
- @GrownUnder explores the merits of vertical farming
- How cell-cultured seafood from @Pacificoaqua_bc could replace traditional fish farming https://t.co/AGxSoly90d</t>
  </si>
  <si>
    <t>On “Babbage”, with @jonfasman:
- Could lab-grown and plant-based meat be the future of food?
- @GrownUnder explores the merits of vertical farming
- How cell-cultured seafood from @BlueNaluInc could replace traditional fish farming https://t.co/ldejY1ZRQ3</t>
  </si>
  <si>
    <t>On “Babbage”, with @jonfasman:
- Could lab-grown and plant-based meat be the future of food?
- @GrownUnder explores the merits of vertical farming
- How cell-cultured seafood from @BlueNaluInc could replace traditional fish farming https://t.co/9OdFAlIo7y</t>
  </si>
  <si>
    <t>On “Babbage”, with @jonfasman:
- Could lab-grown and plant-based meat be the future of food?
- @GrownUnder explores the merits of vertical farming
- How cell-cultured seafood from @BlueNaluInc could replace traditional fish farming https://t.co/zTCK4Lt0HA</t>
  </si>
  <si>
    <t>On “Babbage”, with @jonfasman:
- Could lab-grown and plant-based meat be the future of food?
- @GrownUnder explores the merits of vertical farming
- How cell-cultured seafood from @BlueNaluInc could replace traditional fish farming https://t.co/3KHDGdPR60</t>
  </si>
  <si>
    <t>A moral problem I never thought of.  But then, maybe we just move to cell based meat. https://t.co/Wrp0kcKsBM #cellbasedmeat</t>
  </si>
  <si>
    <t>AAT has made a complete end-to-end platform to produce meat directly from animal cells and it’s scalable. Renaissance Farm will 'democratise access to sustainable food by creating the future of animal farms' - without animals!
https://t.co/0brmao2FpM</t>
  </si>
  <si>
    <t>@xxzxxzxxzzx @TheMorganics @TheScotsman @philip_ciwf ppl will argue that it’s against nature, but so is factory farming. it’s a disruption of the natural order of life in every way. i think cell-based meat has to be the future bc meaters are never gonna shift to a vegan diet en masse until it’s already too late. this could save us.</t>
  </si>
  <si>
    <t>A section in the latest @TheEconomist covers the "future of food," covering cell based meat and citing @eatGOURMEY. Take a listen to the pdcast version here: https://t.co/GPI8cID4vw</t>
  </si>
  <si>
    <t>Over 95% In Hong Kong Want To Try Cell-Based Meat and Seafood: Study  https://t.co/aPbzE9geZP</t>
  </si>
  <si>
    <t>Thanks, @GreenQueenHK , for covering this exciting study: https://t.co/QTZuzrRpTZ</t>
  </si>
  <si>
    <t>Hop onto the link to watch the session! 
https://t.co/i0UCY6p7j0</t>
  </si>
  <si>
    <t>Cell-based antelope: Could cultured meat unlock Southern Africa’s #nutrition problems? 
https://t.co/WUYvIQKnbz 
#cellbasedmeat #agriculture #foodtech #culturedmeat #sustainability</t>
  </si>
  <si>
    <t>#Foodtech #startup @CoMogale is developing solutions to future-proof #SouthAfrica's #nutrition and #foodsecurity – including creating #cellbased #meat from free-roaming antelope and cattle. Reporting in @FoodIng1st.
https://t.co/71mqaqcAtJ</t>
  </si>
  <si>
    <t>To end September, #cellbasedmeat company New Age Meats announced the startup raised a massive $25 million in Series A funding to produce cell-based pork hybrid products. 
#cellag #futureoffood
https://t.co/DfMlRVhYzU</t>
  </si>
  <si>
    <t>The future of meat _xD83E__xDD69_ is cell based! https://t.co/twxCMAExiU</t>
  </si>
  <si>
    <t>What will the #futureoffood look like in the UK? Journalist Emiko Terazono visits two cell-based meat players in the UK, @hoxtonfarms and #HigherSteaks to learn how the companies are working on the future of food. 
#cellag #cellbasedmeat
https://t.co/sgz9EyQkJT</t>
  </si>
  <si>
    <t>.@justegg, @NewAgeMeats, @mosa_meat—these companies are at the forefront of the #cellbasedmeat industry (also known as cultivated or cultured meat). Take a look at my latest article for 3 reasons why you should follow this food #innovation. https://t.co/Ziw01rBNOQ</t>
  </si>
  <si>
    <t>This is a great article to paint the landscape of what's happening on the ground in India. There are examples of the revolution in cell-based meat around the world, with over 55 startups in 19 countries exploring this production methodology (upcoming report from @GoodFoodInst)</t>
  </si>
  <si>
    <t>Great data points coming from the Credence Institute in SA on consumer adoption and awareness in cell-based and plant-based meat. My headline takeaways:
-Plant Based - 67% likely to try, 59% likely to purchase
-Cell-Based - 60% likely to try, 53% " " 
https://t.co/b5dOq2akor</t>
  </si>
  <si>
    <t>@efwhitton It is quite different from cell-based meat.
There are no ‘tissue cells’ involved 
Casein is a protein but an essential part of cheese (all cheeses)
Casein without animals can be made with fermentation with microbes and yeast strains
If you can do that efficient you have gold</t>
  </si>
  <si>
    <t>Actor @aplusk is a fan (and an investor), but do you think 3D bioprinted meat is part of the solution? #YesorNo @MeaTech3D 
https://t.co/D4Hkw5GiJI</t>
  </si>
  <si>
    <t>Cell-Cultured Meat Could Hit Grocery Stores In Next 5 Years, Predicts Expert - Plant Based News https://t.co/Q4O9f7KcyL</t>
  </si>
  <si>
    <t>https://foodmatterslive.com/discover/article/leonardo-dicaprio-invests-in-cell-based-meat-company-mosa-meat/?utm_content=182818991&amp;utm_medium=social&amp;utm_source=twitter&amp;hss_channel=tw-1019912923521671169 https://bit.ly/3zlclnd?utm_content=182818991&amp;utm_medium=social&amp;utm_source=twitter&amp;hss_channel=tw-1019912923521671169</t>
  </si>
  <si>
    <t>https://www.linkedin.com/slink?code=ecSPkTwF https://www.linkedin.com/slink?code=egBfc8GH</t>
  </si>
  <si>
    <t>https://www.livekindly.co/singapore-startup-world-first-cultured-crab/ https://shiokmeats.com/shiok-meats-showcases-the-worlds-first-ever-cell-based-crab-meat-in-a-private-tasting-event/</t>
  </si>
  <si>
    <t>motherjones.com</t>
  </si>
  <si>
    <t>gfi.org</t>
  </si>
  <si>
    <t>fooddive.com</t>
  </si>
  <si>
    <t>meatpoultry.com</t>
  </si>
  <si>
    <t>ecowatch.com</t>
  </si>
  <si>
    <t>theguardian.com</t>
  </si>
  <si>
    <t>supermarketperimeter.com</t>
  </si>
  <si>
    <t>vision4thefuture.co</t>
  </si>
  <si>
    <t>facebook.com</t>
  </si>
  <si>
    <t>medium.com</t>
  </si>
  <si>
    <t>linkedin.com</t>
  </si>
  <si>
    <t>engrxiv.org</t>
  </si>
  <si>
    <t>vegconomist.com</t>
  </si>
  <si>
    <t>com.hk</t>
  </si>
  <si>
    <t>studyfinds.org</t>
  </si>
  <si>
    <t>newrepublic.com</t>
  </si>
  <si>
    <t>trib.al</t>
  </si>
  <si>
    <t>plantbasednews.org</t>
  </si>
  <si>
    <t>foodpolitics.com</t>
  </si>
  <si>
    <t>twitter.com</t>
  </si>
  <si>
    <t>vegnews.com</t>
  </si>
  <si>
    <t>geneticliteracyproject.org</t>
  </si>
  <si>
    <t>vegan-insight.com</t>
  </si>
  <si>
    <t>economist.com</t>
  </si>
  <si>
    <t>foodmatterslive.com bit.ly</t>
  </si>
  <si>
    <t>csiro.au</t>
  </si>
  <si>
    <t>com.au</t>
  </si>
  <si>
    <t>linkedin.com linkedin.com</t>
  </si>
  <si>
    <t>livekindly.co shiokmeats.com</t>
  </si>
  <si>
    <t>3dprint.com</t>
  </si>
  <si>
    <t>co.uk</t>
  </si>
  <si>
    <t>foodingredientsfirst.com</t>
  </si>
  <si>
    <t>techcrunch.com</t>
  </si>
  <si>
    <t>financialpost.com</t>
  </si>
  <si>
    <t>ft.com</t>
  </si>
  <si>
    <t>frontiersin.org</t>
  </si>
  <si>
    <t>cellbased meatinfustry foodtrends meatrends futureoffood</t>
  </si>
  <si>
    <t>invention newinvention newinventions newtech futuretech newtechnology futuretechnology</t>
  </si>
  <si>
    <t>greenative plantbasedmeat cellbasedmeat</t>
  </si>
  <si>
    <t>xprize comogale</t>
  </si>
  <si>
    <t>cultivatedmeat</t>
  </si>
  <si>
    <t>mytwitteranniversary</t>
  </si>
  <si>
    <t>foodpoll food alternativeprotien</t>
  </si>
  <si>
    <t>3dprinting</t>
  </si>
  <si>
    <t>labmeat labmeat</t>
  </si>
  <si>
    <t>hongkong cellbased</t>
  </si>
  <si>
    <t>ashtonkutcher slaughterfree</t>
  </si>
  <si>
    <t>3dprinting additivemanufacturing</t>
  </si>
  <si>
    <t>vegan plantbased vegano veganism</t>
  </si>
  <si>
    <t>cellbasedmeat</t>
  </si>
  <si>
    <t>nutrition cellbasedmeat agriculture foodtech culturedmeat sustainability</t>
  </si>
  <si>
    <t>foodtech startup southafrica nutrition foodsecurity cellbased meat</t>
  </si>
  <si>
    <t>cellbasedmeat cellag futureoffood</t>
  </si>
  <si>
    <t>futureoffood highersteaks cellag cellbasedmeat</t>
  </si>
  <si>
    <t>cellbasedmeat innovation</t>
  </si>
  <si>
    <t>yesorno</t>
  </si>
  <si>
    <t>15:30:10</t>
  </si>
  <si>
    <t>15:59:37</t>
  </si>
  <si>
    <t>16:22:03</t>
  </si>
  <si>
    <t>18:02:07</t>
  </si>
  <si>
    <t>16:19:29</t>
  </si>
  <si>
    <t>18:27:23</t>
  </si>
  <si>
    <t>18:43:02</t>
  </si>
  <si>
    <t>19:24:45</t>
  </si>
  <si>
    <t>23:59:45</t>
  </si>
  <si>
    <t>15:12:35</t>
  </si>
  <si>
    <t>18:30:04</t>
  </si>
  <si>
    <t>19:02:21</t>
  </si>
  <si>
    <t>21:24:52</t>
  </si>
  <si>
    <t>21:26:55</t>
  </si>
  <si>
    <t>03:24:47</t>
  </si>
  <si>
    <t>08:30:56</t>
  </si>
  <si>
    <t>03:53:34</t>
  </si>
  <si>
    <t>10:12:27</t>
  </si>
  <si>
    <t>11:30:36</t>
  </si>
  <si>
    <t>13:05:00</t>
  </si>
  <si>
    <t>15:52:21</t>
  </si>
  <si>
    <t>15:52:10</t>
  </si>
  <si>
    <t>15:54:47</t>
  </si>
  <si>
    <t>19:05:07</t>
  </si>
  <si>
    <t>15:11:39</t>
  </si>
  <si>
    <t>17:38:16</t>
  </si>
  <si>
    <t>19:35:32</t>
  </si>
  <si>
    <t>19:53:41</t>
  </si>
  <si>
    <t>01:05:40</t>
  </si>
  <si>
    <t>08:10:53</t>
  </si>
  <si>
    <t>10:00:38</t>
  </si>
  <si>
    <t>10:01:07</t>
  </si>
  <si>
    <t>10:03:34</t>
  </si>
  <si>
    <t>10:04:10</t>
  </si>
  <si>
    <t>10:12:19</t>
  </si>
  <si>
    <t>10:33:32</t>
  </si>
  <si>
    <t>10:57:32</t>
  </si>
  <si>
    <t>13:00:50</t>
  </si>
  <si>
    <t>11:42:35</t>
  </si>
  <si>
    <t>11:52:52</t>
  </si>
  <si>
    <t>13:02:10</t>
  </si>
  <si>
    <t>19:10:09</t>
  </si>
  <si>
    <t>21:39:23</t>
  </si>
  <si>
    <t>23:45:58</t>
  </si>
  <si>
    <t>01:19:44</t>
  </si>
  <si>
    <t>04:01:30</t>
  </si>
  <si>
    <t>13:27:19</t>
  </si>
  <si>
    <t>13:34:29</t>
  </si>
  <si>
    <t>14:14:54</t>
  </si>
  <si>
    <t>13:30:18</t>
  </si>
  <si>
    <t>16:44:38</t>
  </si>
  <si>
    <t>18:27:19</t>
  </si>
  <si>
    <t>19:23:14</t>
  </si>
  <si>
    <t>19:26:56</t>
  </si>
  <si>
    <t>19:40:34</t>
  </si>
  <si>
    <t>19:49:04</t>
  </si>
  <si>
    <t>19:48:04</t>
  </si>
  <si>
    <t>19:49:06</t>
  </si>
  <si>
    <t>21:18:03</t>
  </si>
  <si>
    <t>00:02:12</t>
  </si>
  <si>
    <t>02:28:31</t>
  </si>
  <si>
    <t>03:28:44</t>
  </si>
  <si>
    <t>04:00:42</t>
  </si>
  <si>
    <t>04:08:41</t>
  </si>
  <si>
    <t>04:11:26</t>
  </si>
  <si>
    <t>04:19:46</t>
  </si>
  <si>
    <t>04:27:31</t>
  </si>
  <si>
    <t>10:38:23</t>
  </si>
  <si>
    <t>04:43:55</t>
  </si>
  <si>
    <t>04:58:23</t>
  </si>
  <si>
    <t>07:44:49</t>
  </si>
  <si>
    <t>08:05:41</t>
  </si>
  <si>
    <t>16:37:00</t>
  </si>
  <si>
    <t>19:16:45</t>
  </si>
  <si>
    <t>19:24:15</t>
  </si>
  <si>
    <t>23:03:32</t>
  </si>
  <si>
    <t>03:21:30</t>
  </si>
  <si>
    <t>05:23:47</t>
  </si>
  <si>
    <t>06:03:26</t>
  </si>
  <si>
    <t>06:29:52</t>
  </si>
  <si>
    <t>06:42:19</t>
  </si>
  <si>
    <t>07:04:09</t>
  </si>
  <si>
    <t>07:04:23</t>
  </si>
  <si>
    <t>22:11:44</t>
  </si>
  <si>
    <t>11:12:01</t>
  </si>
  <si>
    <t>13:00:00</t>
  </si>
  <si>
    <t>06:09:32</t>
  </si>
  <si>
    <t>06:46:00</t>
  </si>
  <si>
    <t>06:47:07</t>
  </si>
  <si>
    <t>06:47:37</t>
  </si>
  <si>
    <t>13:17:16</t>
  </si>
  <si>
    <t>13:59:39</t>
  </si>
  <si>
    <t>16:30:17</t>
  </si>
  <si>
    <t>12:40:46</t>
  </si>
  <si>
    <t>17:56:44</t>
  </si>
  <si>
    <t>19:26:22</t>
  </si>
  <si>
    <t>20:02:41</t>
  </si>
  <si>
    <t>19:27:19</t>
  </si>
  <si>
    <t>10:01:03</t>
  </si>
  <si>
    <t>04:01:02</t>
  </si>
  <si>
    <t>04:01:03</t>
  </si>
  <si>
    <t>04:01:32</t>
  </si>
  <si>
    <t>04:02:52</t>
  </si>
  <si>
    <t>10:01:27</t>
  </si>
  <si>
    <t>04:22:12</t>
  </si>
  <si>
    <t>04:11:42</t>
  </si>
  <si>
    <t>04:17:55</t>
  </si>
  <si>
    <t>04:21:17</t>
  </si>
  <si>
    <t>04:31:04</t>
  </si>
  <si>
    <t>00:00:00</t>
  </si>
  <si>
    <t>04:43:59</t>
  </si>
  <si>
    <t>05:16:10</t>
  </si>
  <si>
    <t>10:00:20</t>
  </si>
  <si>
    <t>08:01:03</t>
  </si>
  <si>
    <t>11:15:03</t>
  </si>
  <si>
    <t>08:03:01</t>
  </si>
  <si>
    <t>08:03:07</t>
  </si>
  <si>
    <t>08:03:06</t>
  </si>
  <si>
    <t>08:03:04</t>
  </si>
  <si>
    <t>08:04:58</t>
  </si>
  <si>
    <t>08:03:16</t>
  </si>
  <si>
    <t>08:04:15</t>
  </si>
  <si>
    <t>08:05:29</t>
  </si>
  <si>
    <t>08:04:09</t>
  </si>
  <si>
    <t>08:05:27</t>
  </si>
  <si>
    <t>08:28:50</t>
  </si>
  <si>
    <t>08:29:49</t>
  </si>
  <si>
    <t>08:30:08</t>
  </si>
  <si>
    <t>08:29:23</t>
  </si>
  <si>
    <t>08:29:52</t>
  </si>
  <si>
    <t>23:31:15</t>
  </si>
  <si>
    <t>04:30:35</t>
  </si>
  <si>
    <t>04:28:50</t>
  </si>
  <si>
    <t>08:36:53</t>
  </si>
  <si>
    <t>09:02:09</t>
  </si>
  <si>
    <t>09:11:16</t>
  </si>
  <si>
    <t>12:38:53</t>
  </si>
  <si>
    <t>15:43:54</t>
  </si>
  <si>
    <t>15:46:58</t>
  </si>
  <si>
    <t>23:01:40</t>
  </si>
  <si>
    <t>10:00:15</t>
  </si>
  <si>
    <t>04:00:09</t>
  </si>
  <si>
    <t>04:00:02</t>
  </si>
  <si>
    <t>23:01:07</t>
  </si>
  <si>
    <t>23:01:04</t>
  </si>
  <si>
    <t>23:01:03</t>
  </si>
  <si>
    <t>23:01:06</t>
  </si>
  <si>
    <t>23:01:05</t>
  </si>
  <si>
    <t>04:00:32</t>
  </si>
  <si>
    <t>04:53:11</t>
  </si>
  <si>
    <t>09:32:48</t>
  </si>
  <si>
    <t>16:21:55</t>
  </si>
  <si>
    <t>16:50:58</t>
  </si>
  <si>
    <t>13:38:12</t>
  </si>
  <si>
    <t>02:13:11</t>
  </si>
  <si>
    <t>00:57:52</t>
  </si>
  <si>
    <t>04:05:50</t>
  </si>
  <si>
    <t>04:26:56</t>
  </si>
  <si>
    <t>04:34:12</t>
  </si>
  <si>
    <t>01:18:37</t>
  </si>
  <si>
    <t>01:36:29</t>
  </si>
  <si>
    <t>14:08:16</t>
  </si>
  <si>
    <t>16:01:31</t>
  </si>
  <si>
    <t>16:30:24</t>
  </si>
  <si>
    <t>04:01:00</t>
  </si>
  <si>
    <t>11:17:53</t>
  </si>
  <si>
    <t>20:18:24</t>
  </si>
  <si>
    <t>11:46:05</t>
  </si>
  <si>
    <t>14:32:01</t>
  </si>
  <si>
    <t>14:35:50</t>
  </si>
  <si>
    <t>14:42:12</t>
  </si>
  <si>
    <t>15:45:07</t>
  </si>
  <si>
    <t>17:38:40</t>
  </si>
  <si>
    <t>23:30:54</t>
  </si>
  <si>
    <t>17:39:16</t>
  </si>
  <si>
    <t>09:00:27</t>
  </si>
  <si>
    <t>17:12:00</t>
  </si>
  <si>
    <t>20:34:00</t>
  </si>
  <si>
    <t>19:51:02</t>
  </si>
  <si>
    <t>17:30:30</t>
  </si>
  <si>
    <t>14:30:25</t>
  </si>
  <si>
    <t>21:40:01</t>
  </si>
  <si>
    <t>13:39:03</t>
  </si>
  <si>
    <t>1445048608781340678</t>
  </si>
  <si>
    <t>1445056021060194307</t>
  </si>
  <si>
    <t>1445061663049224198</t>
  </si>
  <si>
    <t>1445086845944090627</t>
  </si>
  <si>
    <t>1443973856335732757</t>
  </si>
  <si>
    <t>1445093207499362312</t>
  </si>
  <si>
    <t>1445097144151597060</t>
  </si>
  <si>
    <t>1445107644310568978</t>
  </si>
  <si>
    <t>1445176849340911617</t>
  </si>
  <si>
    <t>1445406570817413120</t>
  </si>
  <si>
    <t>1445456269041537027</t>
  </si>
  <si>
    <t>1445464395379712008</t>
  </si>
  <si>
    <t>1445500259019341830</t>
  </si>
  <si>
    <t>1445500773677240320</t>
  </si>
  <si>
    <t>1445590835890851842</t>
  </si>
  <si>
    <t>1445305494223138818</t>
  </si>
  <si>
    <t>1445598078925295624</t>
  </si>
  <si>
    <t>1445693429753671682</t>
  </si>
  <si>
    <t>1445713096320765956</t>
  </si>
  <si>
    <t>1445736850136522758</t>
  </si>
  <si>
    <t>1445778968225878028</t>
  </si>
  <si>
    <t>1445778918896660481</t>
  </si>
  <si>
    <t>1445779577586937865</t>
  </si>
  <si>
    <t>1445827476492591106</t>
  </si>
  <si>
    <t>1443956785384202241</t>
  </si>
  <si>
    <t>1445443233916416003</t>
  </si>
  <si>
    <t>1445835133018247176</t>
  </si>
  <si>
    <t>1445477313211031565</t>
  </si>
  <si>
    <t>1445918212407787526</t>
  </si>
  <si>
    <t>1446025220809269248</t>
  </si>
  <si>
    <t>1446052840716316677</t>
  </si>
  <si>
    <t>1446052962279649281</t>
  </si>
  <si>
    <t>1446053580113285124</t>
  </si>
  <si>
    <t>1446053732903424001</t>
  </si>
  <si>
    <t>1446055783146344451</t>
  </si>
  <si>
    <t>1446061121128091654</t>
  </si>
  <si>
    <t>1446067160829227009</t>
  </si>
  <si>
    <t>1442836700049428481</t>
  </si>
  <si>
    <t>1446078496640409602</t>
  </si>
  <si>
    <t>1446081087604760582</t>
  </si>
  <si>
    <t>1446098525331230723</t>
  </si>
  <si>
    <t>1446191133089046528</t>
  </si>
  <si>
    <t>1446228688152891393</t>
  </si>
  <si>
    <t>1446260541715013636</t>
  </si>
  <si>
    <t>1446284139884257280</t>
  </si>
  <si>
    <t>1446324849043918852</t>
  </si>
  <si>
    <t>1446467243576004632</t>
  </si>
  <si>
    <t>1446469046157840403</t>
  </si>
  <si>
    <t>1446479216069992451</t>
  </si>
  <si>
    <t>1446467992993271849</t>
  </si>
  <si>
    <t>1446516897764319259</t>
  </si>
  <si>
    <t>1446542740456681475</t>
  </si>
  <si>
    <t>1446556810693992448</t>
  </si>
  <si>
    <t>1446557744249593858</t>
  </si>
  <si>
    <t>1446561173500006411</t>
  </si>
  <si>
    <t>1446563315379933185</t>
  </si>
  <si>
    <t>1446563060370395137</t>
  </si>
  <si>
    <t>1446563323768557570</t>
  </si>
  <si>
    <t>1446585706902589444</t>
  </si>
  <si>
    <t>1446627014828564483</t>
  </si>
  <si>
    <t>1446663836543684610</t>
  </si>
  <si>
    <t>1446678992140918784</t>
  </si>
  <si>
    <t>1446687037659176962</t>
  </si>
  <si>
    <t>1446689047162732548</t>
  </si>
  <si>
    <t>1446689739155783682</t>
  </si>
  <si>
    <t>1446691835334778883</t>
  </si>
  <si>
    <t>1446693785547657217</t>
  </si>
  <si>
    <t>1446062340152205314</t>
  </si>
  <si>
    <t>1446697912986218496</t>
  </si>
  <si>
    <t>1446701552593473537</t>
  </si>
  <si>
    <t>1446743439819816960</t>
  </si>
  <si>
    <t>1446748690081738754</t>
  </si>
  <si>
    <t>1446877367541116932</t>
  </si>
  <si>
    <t>1446917569018056705</t>
  </si>
  <si>
    <t>1446919457398460420</t>
  </si>
  <si>
    <t>1446974642279833603</t>
  </si>
  <si>
    <t>1446677173750796289</t>
  </si>
  <si>
    <t>1447070331923886086</t>
  </si>
  <si>
    <t>1447080313717497858</t>
  </si>
  <si>
    <t>1447086965740826626</t>
  </si>
  <si>
    <t>1447090098625925122</t>
  </si>
  <si>
    <t>1447095589947133953</t>
  </si>
  <si>
    <t>1447095648998723584</t>
  </si>
  <si>
    <t>1446961604998881280</t>
  </si>
  <si>
    <t>1447157971591565315</t>
  </si>
  <si>
    <t>1447185144364818435</t>
  </si>
  <si>
    <t>1445994685445513216</t>
  </si>
  <si>
    <t>1446003859038478338</t>
  </si>
  <si>
    <t>1446004141021548544</t>
  </si>
  <si>
    <t>1446004268826202118</t>
  </si>
  <si>
    <t>1447189488753541124</t>
  </si>
  <si>
    <t>1447200154994425858</t>
  </si>
  <si>
    <t>1447238062384287744</t>
  </si>
  <si>
    <t>1447180303555039233</t>
  </si>
  <si>
    <t>1447259818385977346</t>
  </si>
  <si>
    <t>1447282377781350408</t>
  </si>
  <si>
    <t>1443305248240676866</t>
  </si>
  <si>
    <t>1447282615958978560</t>
  </si>
  <si>
    <t>1446052947452784649</t>
  </si>
  <si>
    <t>1446687122274983938</t>
  </si>
  <si>
    <t>1447411899197317127</t>
  </si>
  <si>
    <t>1447412023655124997</t>
  </si>
  <si>
    <t>1447412356724576261</t>
  </si>
  <si>
    <t>1446053048606859266</t>
  </si>
  <si>
    <t>1446692448147701760</t>
  </si>
  <si>
    <t>1447414582432002049</t>
  </si>
  <si>
    <t>1447416146932551683</t>
  </si>
  <si>
    <t>1447416994400071680</t>
  </si>
  <si>
    <t>1447419457010237443</t>
  </si>
  <si>
    <t>1446626461897531393</t>
  </si>
  <si>
    <t>1447422704567554051</t>
  </si>
  <si>
    <t>1447430803269447687</t>
  </si>
  <si>
    <t>1446052766565101569</t>
  </si>
  <si>
    <t>1447472299834101760</t>
  </si>
  <si>
    <t>1446433955465646114</t>
  </si>
  <si>
    <t>1445660855807266818</t>
  </si>
  <si>
    <t>1446023267106578435</t>
  </si>
  <si>
    <t>1446385652564701218</t>
  </si>
  <si>
    <t>1446748031924285451</t>
  </si>
  <si>
    <t>1447110417910747137</t>
  </si>
  <si>
    <t>1447472813431001091</t>
  </si>
  <si>
    <t>1445661345777475584</t>
  </si>
  <si>
    <t>1446023305828372481</t>
  </si>
  <si>
    <t>1446385941086679076</t>
  </si>
  <si>
    <t>1446748639930552326</t>
  </si>
  <si>
    <t>1447110690217598979</t>
  </si>
  <si>
    <t>1447473406325239809</t>
  </si>
  <si>
    <t>1446029739601367041</t>
  </si>
  <si>
    <t>1446392374733725702</t>
  </si>
  <si>
    <t>1446392454148677642</t>
  </si>
  <si>
    <t>1447117042851749890</t>
  </si>
  <si>
    <t>1447117163072999424</t>
  </si>
  <si>
    <t>1447479289088253952</t>
  </si>
  <si>
    <t>1446256838392098821</t>
  </si>
  <si>
    <t>1446694559455531008</t>
  </si>
  <si>
    <t>1447418893706870785</t>
  </si>
  <si>
    <t>1447481318284070915</t>
  </si>
  <si>
    <t>1447487674202394624</t>
  </si>
  <si>
    <t>1447489967899480066</t>
  </si>
  <si>
    <t>1447542217271386117</t>
  </si>
  <si>
    <t>1447588777141149698</t>
  </si>
  <si>
    <t>1447589551120154628</t>
  </si>
  <si>
    <t>1445524618702327811</t>
  </si>
  <si>
    <t>1446052745350365184</t>
  </si>
  <si>
    <t>1446686897695305740</t>
  </si>
  <si>
    <t>1447411644942929923</t>
  </si>
  <si>
    <t>1445886868562796545</t>
  </si>
  <si>
    <t>1446249242553630728</t>
  </si>
  <si>
    <t>1446611629827936259</t>
  </si>
  <si>
    <t>1446974031413092360</t>
  </si>
  <si>
    <t>1447336418074931203</t>
  </si>
  <si>
    <t>1447698798541688836</t>
  </si>
  <si>
    <t>1447774158537039872</t>
  </si>
  <si>
    <t>1447787407684763651</t>
  </si>
  <si>
    <t>1447857778102607875</t>
  </si>
  <si>
    <t>1445786407209893895</t>
  </si>
  <si>
    <t>1445793717378592773</t>
  </si>
  <si>
    <t>1445745204279922691</t>
  </si>
  <si>
    <t>1445935204212817920</t>
  </si>
  <si>
    <t>1445191473838841862</t>
  </si>
  <si>
    <t>1445963555417690115</t>
  </si>
  <si>
    <t>1445968864626585600</t>
  </si>
  <si>
    <t>1447057854255415297</t>
  </si>
  <si>
    <t>1446283859042062338</t>
  </si>
  <si>
    <t>1446288357835821056</t>
  </si>
  <si>
    <t>1445752773035716631</t>
  </si>
  <si>
    <t>1446506047137619969</t>
  </si>
  <si>
    <t>1446513319632850955</t>
  </si>
  <si>
    <t>1447774275516211203</t>
  </si>
  <si>
    <t>1447884220093894656</t>
  </si>
  <si>
    <t>1446208307589484555</t>
  </si>
  <si>
    <t>1447891316399030276</t>
  </si>
  <si>
    <t>1447933077775323137</t>
  </si>
  <si>
    <t>1447934038086406144</t>
  </si>
  <si>
    <t>1447935638871986182</t>
  </si>
  <si>
    <t>1447951472457666562</t>
  </si>
  <si>
    <t>1447980049055961093</t>
  </si>
  <si>
    <t>1447706302373777408</t>
  </si>
  <si>
    <t>1447980200768294923</t>
  </si>
  <si>
    <t>1447487246731517953</t>
  </si>
  <si>
    <t>1446886176443539461</t>
  </si>
  <si>
    <t>1447661786287771649</t>
  </si>
  <si>
    <t>1448013361577345034</t>
  </si>
  <si>
    <t>1446166054363975690</t>
  </si>
  <si>
    <t>1447932672630734849</t>
  </si>
  <si>
    <t>1448040786025717764</t>
  </si>
  <si>
    <t>1445020643179778057</t>
  </si>
  <si>
    <t>1444373593564057602</t>
  </si>
  <si>
    <t>1445401647669202957</t>
  </si>
  <si>
    <t>1446156723308347395</t>
  </si>
  <si>
    <t>1444702031063683075</t>
  </si>
  <si>
    <t>1446912127441145859</t>
  </si>
  <si>
    <t>1447086516166021120</t>
  </si>
  <si>
    <t>1447089330699202564</t>
  </si>
  <si>
    <t>1447049049169797152</t>
  </si>
  <si>
    <t>1447589549610176512</t>
  </si>
  <si>
    <t>1447857381711482881</t>
  </si>
  <si>
    <t>1445963397820870658</t>
  </si>
  <si>
    <t>1447057737913827336</t>
  </si>
  <si>
    <t>1447980046317015041</t>
  </si>
  <si>
    <t>1447976159753371649</t>
  </si>
  <si>
    <t/>
  </si>
  <si>
    <t>2186655437</t>
  </si>
  <si>
    <t>23600122</t>
  </si>
  <si>
    <t>10615232</t>
  </si>
  <si>
    <t>3107963936</t>
  </si>
  <si>
    <t>1539866125</t>
  </si>
  <si>
    <t>1171793868</t>
  </si>
  <si>
    <t>1383635457829851137</t>
  </si>
  <si>
    <t>1592844931</t>
  </si>
  <si>
    <t>519415409</t>
  </si>
  <si>
    <t>1447257143657127939</t>
  </si>
  <si>
    <t>3001694750</t>
  </si>
  <si>
    <t>1064002624205205505</t>
  </si>
  <si>
    <t>1349886710646099968</t>
  </si>
  <si>
    <t>454629750</t>
  </si>
  <si>
    <t>en</t>
  </si>
  <si>
    <t>th</t>
  </si>
  <si>
    <t>und</t>
  </si>
  <si>
    <t>ja</t>
  </si>
  <si>
    <t>1446080921363492868</t>
  </si>
  <si>
    <t>Twitter Web App</t>
  </si>
  <si>
    <t>Metricool</t>
  </si>
  <si>
    <t>Hootsuite Inc.</t>
  </si>
  <si>
    <t>Agorapulse app</t>
  </si>
  <si>
    <t>Twitter for iPhone</t>
  </si>
  <si>
    <t>LinkedIn</t>
  </si>
  <si>
    <t>HubSpot</t>
  </si>
  <si>
    <t>Twitter for Android</t>
  </si>
  <si>
    <t>WordPress.com</t>
  </si>
  <si>
    <t>SocialBee.io v2</t>
  </si>
  <si>
    <t>Twitter for iPad</t>
  </si>
  <si>
    <t>3D Printing News Feed</t>
  </si>
  <si>
    <t>IFTTT</t>
  </si>
  <si>
    <t>Echobox</t>
  </si>
  <si>
    <t>dlvr.it</t>
  </si>
  <si>
    <t>Vegan Insight</t>
  </si>
  <si>
    <t>MeetEdgar</t>
  </si>
  <si>
    <t>De-duped Economist</t>
  </si>
  <si>
    <t>SocialFlow</t>
  </si>
  <si>
    <t>GroupTweet</t>
  </si>
  <si>
    <t>Oikos Solutions</t>
  </si>
  <si>
    <t>TweetDeck</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</si>
  <si>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</si>
  <si>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</si>
  <si>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</si>
  <si>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</si>
  <si>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</si>
  <si>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</si>
  <si>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</si>
  <si>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</si>
  <si>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</si>
  <si>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</si>
  <si>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</si>
  <si>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</si>
  <si>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</si>
  <si>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</si>
  <si>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</si>
  <si>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</si>
  <si>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</si>
  <si>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</si>
  <si>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</si>
  <si>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</si>
  <si>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</si>
  <si>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</si>
  <si>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</si>
  <si>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</si>
  <si>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Plant Finance</t>
  </si>
  <si>
    <t>Oxford Economics</t>
  </si>
  <si>
    <t>Jeremy Szafron</t>
  </si>
  <si>
    <t>Michele Simon JD MPH</t>
  </si>
  <si>
    <t>Paul Hart - Food Science &amp; Corporate Iconoclast</t>
  </si>
  <si>
    <t>Food Entrepreneurs</t>
  </si>
  <si>
    <t>The Good Food Institute</t>
  </si>
  <si>
    <t>Megan Poinski</t>
  </si>
  <si>
    <t>The Well Seasoned Librarian: Podcast</t>
  </si>
  <si>
    <t>MeatPoultry.com</t>
  </si>
  <si>
    <t>D’Beau- B.O.M.B._xD83D__xDCA3_</t>
  </si>
  <si>
    <t>Joshua March</t>
  </si>
  <si>
    <t>Barbara Kiser</t>
  </si>
  <si>
    <t>Supermarket Perimeter</t>
  </si>
  <si>
    <t>Lux Research Inc.</t>
  </si>
  <si>
    <t>ASI - Your Food Safety Partners</t>
  </si>
  <si>
    <t>_xD83C__xDFA9_Sir Lam₿o M_xD83C__xDF14__xD83C__xDF16_N</t>
  </si>
  <si>
    <t>Vision 4 The Future</t>
  </si>
  <si>
    <t>hello world :)</t>
  </si>
  <si>
    <t>Greenative</t>
  </si>
  <si>
    <t>FutureFoodInstitute</t>
  </si>
  <si>
    <t>Chiara Cecchini</t>
  </si>
  <si>
    <t>Aleph Farms</t>
  </si>
  <si>
    <t>Leonardo DiCaprio</t>
  </si>
  <si>
    <t>Mosa Meat</t>
  </si>
  <si>
    <t>Dr Paul Bartels</t>
  </si>
  <si>
    <t>Iron Star</t>
  </si>
  <si>
    <t>BlacksmithApps</t>
  </si>
  <si>
    <t>Food Dive</t>
  </si>
  <si>
    <t>80,000 Hours</t>
  </si>
  <si>
    <t>Robert Wiblin</t>
  </si>
  <si>
    <t>Simon Friederich</t>
  </si>
  <si>
    <t>Joyance Partners</t>
  </si>
  <si>
    <t>Vegconomist Global</t>
  </si>
  <si>
    <t>Mission Barns</t>
  </si>
  <si>
    <t>Jacqui Matthews</t>
  </si>
  <si>
    <t>Roslin Technologies Ltd</t>
  </si>
  <si>
    <t>HealthyLife.Net</t>
  </si>
  <si>
    <t>hakan güner</t>
  </si>
  <si>
    <t>BlueNalu</t>
  </si>
  <si>
    <t>Growing Underground</t>
  </si>
  <si>
    <t>Jon Fasman</t>
  </si>
  <si>
    <t>The Economist</t>
  </si>
  <si>
    <t>Susana M. de Leon</t>
  </si>
  <si>
    <t>Mohammed Nismath</t>
  </si>
  <si>
    <t>World News</t>
  </si>
  <si>
    <t>Ezeonufo Chukwunonso</t>
  </si>
  <si>
    <t>Deucejaxon</t>
  </si>
  <si>
    <t>White Knight</t>
  </si>
  <si>
    <t>Human</t>
  </si>
  <si>
    <t>Supansa</t>
  </si>
  <si>
    <t>Marion Nestle</t>
  </si>
  <si>
    <t>Jessica E. Raneri</t>
  </si>
  <si>
    <t>Gregory W. Chupa</t>
  </si>
  <si>
    <t>Glory Dey</t>
  </si>
  <si>
    <t>Steve _xD83D__xDE37_</t>
  </si>
  <si>
    <t>ChuckGrassley</t>
  </si>
  <si>
    <t>Vector Research</t>
  </si>
  <si>
    <t>Liz Marshall</t>
  </si>
  <si>
    <t>UPSIDE Foods</t>
  </si>
  <si>
    <t>Uma Valeti, MD</t>
  </si>
  <si>
    <t>MEAT THE FUTURE</t>
  </si>
  <si>
    <t>ichimura</t>
  </si>
  <si>
    <t>Aud ☀️_xD83C__xDFB6_❤️✌_xD83C__xDFFB__xD83D__xDC7B__xD83E__xDD8B_✖️</t>
  </si>
  <si>
    <t>Kyle Jantjies _xD83C__xDDFF__xD83C__xDDE6_</t>
  </si>
  <si>
    <t>Gary B MHFA_xD83D__xDC99__xD83C__xDFF4__xDB40__xDC67__xDB40__xDC62__xDB40__xDC65__xDB40__xDC6E__xDB40__xDC67__xDB40__xDC7F__xD83C__xDDEC__xD83C__xDDE7__xD83C__xDDEA__xD83C__xDDFA__xD83C__xDF0D__xD83D__xDFE0_</t>
  </si>
  <si>
    <t>Jacy Reese Anthis</t>
  </si>
  <si>
    <t>Culinary Culture</t>
  </si>
  <si>
    <t>SIAL America</t>
  </si>
  <si>
    <t>Roberto</t>
  </si>
  <si>
    <t>3D Printing News</t>
  </si>
  <si>
    <t>Lisa Williams Ⓥ</t>
  </si>
  <si>
    <t>Genetic Literacy Project</t>
  </si>
  <si>
    <t>Food Safety News</t>
  </si>
  <si>
    <t>Verdant Square Network NJ</t>
  </si>
  <si>
    <t>Verdant Square Network</t>
  </si>
  <si>
    <t>Verdant Square Network PA</t>
  </si>
  <si>
    <t>Moon Gin Still Zen</t>
  </si>
  <si>
    <t>Earth Accounting</t>
  </si>
  <si>
    <t>Ing Rahamposse No More _xD83D__xDDE3_️</t>
  </si>
  <si>
    <t>Joe Rogan</t>
  </si>
  <si>
    <t>Jake Coco</t>
  </si>
  <si>
    <t>44MagnumBlue</t>
  </si>
  <si>
    <t>Ghost of Alex Berenson</t>
  </si>
  <si>
    <t>john jackson</t>
  </si>
  <si>
    <t>Shaun Coffey</t>
  </si>
  <si>
    <t>paul wood AO</t>
  </si>
  <si>
    <t>alex</t>
  </si>
  <si>
    <t>Sunil Mohamed</t>
  </si>
  <si>
    <t>ハナビン</t>
  </si>
  <si>
    <t>Madondo Traver</t>
  </si>
  <si>
    <t>Dhritiman Deka</t>
  </si>
  <si>
    <t>R.G</t>
  </si>
  <si>
    <t>sadam</t>
  </si>
  <si>
    <t>Emma the Space Gardener _xD83C__xDF31__xD83D__xDE80_</t>
  </si>
  <si>
    <t>Lou Cooperhouse</t>
  </si>
  <si>
    <t>Regina Banali</t>
  </si>
  <si>
    <t>GattomattiaⓋ</t>
  </si>
  <si>
    <t>MeaTech</t>
  </si>
  <si>
    <t>ashton kutcher</t>
  </si>
  <si>
    <t>PepeNature</t>
  </si>
  <si>
    <t>Simon Delagrave</t>
  </si>
  <si>
    <t>Podcasts from The Economist</t>
  </si>
  <si>
    <t>Frank Mitloehner</t>
  </si>
  <si>
    <t>David Griso</t>
  </si>
  <si>
    <t>berkeley_rabe</t>
  </si>
  <si>
    <t>carlo lucisano</t>
  </si>
  <si>
    <t>UP Cells</t>
  </si>
  <si>
    <t>telteltel</t>
  </si>
  <si>
    <t>The Radical Rosenbaum</t>
  </si>
  <si>
    <t>Kaiserin Augusta</t>
  </si>
  <si>
    <t>Food Tech Matters</t>
  </si>
  <si>
    <t>Tuan TRANPHAM _xD83E__xDD95_</t>
  </si>
  <si>
    <t>Koelnmesse, Inc.</t>
  </si>
  <si>
    <t>Phillip Russo</t>
  </si>
  <si>
    <t>Anonymous</t>
  </si>
  <si>
    <t>Ross Cessna</t>
  </si>
  <si>
    <t>TheEconomist Deduped</t>
  </si>
  <si>
    <t>james counihan</t>
  </si>
  <si>
    <t>Wener@dailylife</t>
  </si>
  <si>
    <t>Parvez Musharaf</t>
  </si>
  <si>
    <t>MonLuz</t>
  </si>
  <si>
    <t>jessica_xD83C__xDCCF_</t>
  </si>
  <si>
    <t>Soroush Pour</t>
  </si>
  <si>
    <t>김정관</t>
  </si>
  <si>
    <t>Dr. Joseph Frusci</t>
  </si>
  <si>
    <t>OIKOS - Vegetables instead of flowers</t>
  </si>
  <si>
    <t>Evilla</t>
  </si>
  <si>
    <t>Jonathan Shpigler</t>
  </si>
  <si>
    <t>animal sujet - cmp</t>
  </si>
  <si>
    <t>The Maker's Movement</t>
  </si>
  <si>
    <t>Vegans Facts</t>
  </si>
  <si>
    <t>Koberg Capital</t>
  </si>
  <si>
    <t>Pacifico Aquaculture</t>
  </si>
  <si>
    <t>Leon Grey</t>
  </si>
  <si>
    <t>Dave Hansford</t>
  </si>
  <si>
    <t>traNZition aotearoa</t>
  </si>
  <si>
    <t>seth</t>
  </si>
  <si>
    <t>Philip Lymbery</t>
  </si>
  <si>
    <t>The Scotsman</t>
  </si>
  <si>
    <t>Mrs M_xD83C__xDF31__xD83D__xDC99__xD83D__xDC99_</t>
  </si>
  <si>
    <t>Mani _xD83C__xDF47_</t>
  </si>
  <si>
    <t>CraftmeatI</t>
  </si>
  <si>
    <t>Helikon Consulting</t>
  </si>
  <si>
    <t>GOURMEY</t>
  </si>
  <si>
    <t>Green Queen Media</t>
  </si>
  <si>
    <t>FoodIngredients1st</t>
  </si>
  <si>
    <t>Protein Report</t>
  </si>
  <si>
    <t>Mogale Meat Co / MeatOurFuture</t>
  </si>
  <si>
    <t>CellAgri</t>
  </si>
  <si>
    <t>_xD83D__xDC3B_ RYAN BΞTHΞNC◎URT</t>
  </si>
  <si>
    <t>Lanius Grumps</t>
  </si>
  <si>
    <t>Hoxton Farms</t>
  </si>
  <si>
    <t>Functional Food Podcast || YIPING</t>
  </si>
  <si>
    <t>Jeanna Rex</t>
  </si>
  <si>
    <t>kory zelickson</t>
  </si>
  <si>
    <t>New Age Meats</t>
  </si>
  <si>
    <t>JUST Egg</t>
  </si>
  <si>
    <t>Charlie Edler</t>
  </si>
  <si>
    <t>Marc Pieterse _xD83C__xDF31_✌️✊</t>
  </si>
  <si>
    <t>Erika F Whitton</t>
  </si>
  <si>
    <t>Sophia J Giacalone (Steiner) Rivera</t>
  </si>
  <si>
    <t>Sally Wynn</t>
  </si>
  <si>
    <t>1336336918510899200</t>
  </si>
  <si>
    <t>2474568630</t>
  </si>
  <si>
    <t>34739179</t>
  </si>
  <si>
    <t>116986352</t>
  </si>
  <si>
    <t>1064542799088025600</t>
  </si>
  <si>
    <t>3881384261</t>
  </si>
  <si>
    <t>15912586</t>
  </si>
  <si>
    <t>1392210077004693505</t>
  </si>
  <si>
    <t>34011197</t>
  </si>
  <si>
    <t>99472571</t>
  </si>
  <si>
    <t>13241152</t>
  </si>
  <si>
    <t>986999892181770240</t>
  </si>
  <si>
    <t>1234521505415024640</t>
  </si>
  <si>
    <t>69600690</t>
  </si>
  <si>
    <t>48429694</t>
  </si>
  <si>
    <t>910215164775059456</t>
  </si>
  <si>
    <t>805506387619024896</t>
  </si>
  <si>
    <t>840137167837970432</t>
  </si>
  <si>
    <t>1386215559977705478</t>
  </si>
  <si>
    <t>2467726476</t>
  </si>
  <si>
    <t>287895488</t>
  </si>
  <si>
    <t>1070616411951779840</t>
  </si>
  <si>
    <t>133880286</t>
  </si>
  <si>
    <t>787929135423299584</t>
  </si>
  <si>
    <t>1325439312213778432</t>
  </si>
  <si>
    <t>48273264</t>
  </si>
  <si>
    <t>718104481951522818</t>
  </si>
  <si>
    <t>833990635</t>
  </si>
  <si>
    <t>376830513</t>
  </si>
  <si>
    <t>47268595</t>
  </si>
  <si>
    <t>942681942100672512</t>
  </si>
  <si>
    <t>912812990134501376</t>
  </si>
  <si>
    <t>1024262656214085632</t>
  </si>
  <si>
    <t>984545671352143872</t>
  </si>
  <si>
    <t>299645192</t>
  </si>
  <si>
    <t>1027540059522772993</t>
  </si>
  <si>
    <t>26855173</t>
  </si>
  <si>
    <t>741535610561826816</t>
  </si>
  <si>
    <t>1004396257551486977</t>
  </si>
  <si>
    <t>1930874905</t>
  </si>
  <si>
    <t>86783742</t>
  </si>
  <si>
    <t>32353291</t>
  </si>
  <si>
    <t>4517681962</t>
  </si>
  <si>
    <t>5988062</t>
  </si>
  <si>
    <t>1927404745</t>
  </si>
  <si>
    <t>1221366000752324609</t>
  </si>
  <si>
    <t>777468228750761986</t>
  </si>
  <si>
    <t>1427621896548462594</t>
  </si>
  <si>
    <t>1180598718438883329</t>
  </si>
  <si>
    <t>1370684555946991626</t>
  </si>
  <si>
    <t>1015140018195582976</t>
  </si>
  <si>
    <t>24212723</t>
  </si>
  <si>
    <t>28265992</t>
  </si>
  <si>
    <t>707988291048579074</t>
  </si>
  <si>
    <t>2558643751</t>
  </si>
  <si>
    <t>395697522</t>
  </si>
  <si>
    <t>1375561113652273152</t>
  </si>
  <si>
    <t>141323020</t>
  </si>
  <si>
    <t>3131265748</t>
  </si>
  <si>
    <t>4012922026</t>
  </si>
  <si>
    <t>476687045</t>
  </si>
  <si>
    <t>784854687170256896</t>
  </si>
  <si>
    <t>846955156600246274</t>
  </si>
  <si>
    <t>1134385721651994625</t>
  </si>
  <si>
    <t>350518196</t>
  </si>
  <si>
    <t>786217898071109632</t>
  </si>
  <si>
    <t>1415731755038904320</t>
  </si>
  <si>
    <t>132290512</t>
  </si>
  <si>
    <t>3298379074</t>
  </si>
  <si>
    <t>2649165692</t>
  </si>
  <si>
    <t>469509187</t>
  </si>
  <si>
    <t>18813482</t>
  </si>
  <si>
    <t>1230229067166822403</t>
  </si>
  <si>
    <t>1219414172091539460</t>
  </si>
  <si>
    <t>166488367</t>
  </si>
  <si>
    <t>926528254378471426</t>
  </si>
  <si>
    <t>48014371</t>
  </si>
  <si>
    <t>2527904352</t>
  </si>
  <si>
    <t>36840596</t>
  </si>
  <si>
    <t>18208354</t>
  </si>
  <si>
    <t>30101738</t>
  </si>
  <si>
    <t>1430174965643497495</t>
  </si>
  <si>
    <t>1431775520870576131</t>
  </si>
  <si>
    <t>49229910</t>
  </si>
  <si>
    <t>13058772</t>
  </si>
  <si>
    <t>1684271474</t>
  </si>
  <si>
    <t>1426387688010178562</t>
  </si>
  <si>
    <t>870186517</t>
  </si>
  <si>
    <t>1405089740550930434</t>
  </si>
  <si>
    <t>1412906126480486406</t>
  </si>
  <si>
    <t>41130872</t>
  </si>
  <si>
    <t>1362222679105880065</t>
  </si>
  <si>
    <t>1210380042712289285</t>
  </si>
  <si>
    <t>1276107374378582016</t>
  </si>
  <si>
    <t>831929233610067968</t>
  </si>
  <si>
    <t>21642560</t>
  </si>
  <si>
    <t>1054447446036828160</t>
  </si>
  <si>
    <t>1176051784000913408</t>
  </si>
  <si>
    <t>19058681</t>
  </si>
  <si>
    <t>28609947</t>
  </si>
  <si>
    <t>1308011680652197888</t>
  </si>
  <si>
    <t>371352104</t>
  </si>
  <si>
    <t>3423735975</t>
  </si>
  <si>
    <t>95715569</t>
  </si>
  <si>
    <t>1500996516</t>
  </si>
  <si>
    <t>311694861</t>
  </si>
  <si>
    <t>2428970191</t>
  </si>
  <si>
    <t>2725407796</t>
  </si>
  <si>
    <t>1077284856021872640</t>
  </si>
  <si>
    <t>1019912923521671169</t>
  </si>
  <si>
    <t>35207120</t>
  </si>
  <si>
    <t>33583331</t>
  </si>
  <si>
    <t>13092782</t>
  </si>
  <si>
    <t>55325773</t>
  </si>
  <si>
    <t>1423802212833271813</t>
  </si>
  <si>
    <t>1004633556965117952</t>
  </si>
  <si>
    <t>3313760755</t>
  </si>
  <si>
    <t>4058801981</t>
  </si>
  <si>
    <t>2653769940</t>
  </si>
  <si>
    <t>1419960121405239299</t>
  </si>
  <si>
    <t>1349480766749757448</t>
  </si>
  <si>
    <t>718544707320733698</t>
  </si>
  <si>
    <t>2541047887</t>
  </si>
  <si>
    <t>550829262</t>
  </si>
  <si>
    <t>309238549</t>
  </si>
  <si>
    <t>1191746109250691072</t>
  </si>
  <si>
    <t>72073551</t>
  </si>
  <si>
    <t>1354031451088560128</t>
  </si>
  <si>
    <t>2598394056</t>
  </si>
  <si>
    <t>2334920990</t>
  </si>
  <si>
    <t>742431162849734656</t>
  </si>
  <si>
    <t>833826412880551936</t>
  </si>
  <si>
    <t>842728303660158977</t>
  </si>
  <si>
    <t>3193579038</t>
  </si>
  <si>
    <t>77626182</t>
  </si>
  <si>
    <t>159146922</t>
  </si>
  <si>
    <t>17680050</t>
  </si>
  <si>
    <t>759496926</t>
  </si>
  <si>
    <t>1115090667062157312</t>
  </si>
  <si>
    <t>1037062420731232256</t>
  </si>
  <si>
    <t>1327673050200989698</t>
  </si>
  <si>
    <t>1107641977821167618</t>
  </si>
  <si>
    <t>384098875</t>
  </si>
  <si>
    <t>710019200719450112</t>
  </si>
  <si>
    <t>443891125</t>
  </si>
  <si>
    <t>1330253559280046080</t>
  </si>
  <si>
    <t>940456876675817473</t>
  </si>
  <si>
    <t>38927264</t>
  </si>
  <si>
    <t>389988390</t>
  </si>
  <si>
    <t>1280178888640008194</t>
  </si>
  <si>
    <t>1264454606572019712</t>
  </si>
  <si>
    <t>1107373927947489281</t>
  </si>
  <si>
    <t>1364041111522537472</t>
  </si>
  <si>
    <t>990047227367178242</t>
  </si>
  <si>
    <t>357908674</t>
  </si>
  <si>
    <t>434790644</t>
  </si>
  <si>
    <t>987442529116262401</t>
  </si>
  <si>
    <t>977909079044689920</t>
  </si>
  <si>
    <t>A global community focused on disruptive companies building the future of food and sustainability. Alternative proteins, cultured meat and plant based materials</t>
  </si>
  <si>
    <t>News, resources, and insights from the Economics team at Oxford University Press.</t>
  </si>
  <si>
    <t>A proud uncle to animals+humans. I am an investor, journalist, and I talk about the companies disrupting today’s markets.</t>
  </si>
  <si>
    <t>Author of Appetite for Profit. Founder and former ED of the Plant Based Foods Association. Professional trouble-maker and truth-teller.</t>
  </si>
  <si>
    <t>Tech. Expert Plant Protein (Solanic potato)
- Oils &amp; Fats (Shea); Texturants
- Adviser: Barclays Invstmnt Bank
- Clean label; free from (allergens)
- #LCL6 OMAD</t>
  </si>
  <si>
    <t>Community for #FoodEntrepreneurs around the _xD83C__xDF0D_
Powered by @EatableAdv
_xD83D__xDCF1_ Insta https://t.co/I3sKh58M4v
_xD83D__xDC49_ Get involved https://t.co/N57KzmckKB
_xD83D__xDCEC_ sayhi@foodentrepreneurs.com</t>
  </si>
  <si>
    <t>Developing the roadmap for a sustainable, secure, and just global protein supply | Creating a world where alternative proteins are no longer alternative _xD83E__xDDEB__xD83C__xDF31_</t>
  </si>
  <si>
    <t>Senior reporter @fooddive. Former @washingtonpost, @WashTimesLocal, @SMPAGWU, @mdreporter, @VIDailyNews. she/her</t>
  </si>
  <si>
    <t>The Well Seasoned Librarian Podcast: In conversation with Writers, Chefs, Bakers and Farmers. Food is the topic!</t>
  </si>
  <si>
    <t>Industry's leading trade magazine and website covering meat and poultry processing</t>
  </si>
  <si>
    <t>semi-unprofessional snowboarder _xD83C__xDFC2_</t>
  </si>
  <si>
    <t>Co-founder &amp; CEO of @ArtemysFoods, on a mission to empower the world to eat sustainably. Founder and board member at @Conversocial</t>
  </si>
  <si>
    <t>reading about climate change, environment &amp; sustainability _xD83C__xDF0D_ , vegan_xD83C__xDF31_, working in IT _xD83D__xDC68_‍_xD83D__xDCBB_ , mountain-lover _xD83E__xDDD7_ - he/him - #TrustScience #FightMisinformation</t>
  </si>
  <si>
    <t>Editor, writer, ex-commissioning ed. of Nature Books and Arts. Still in pursuit of joined-up thinking.</t>
  </si>
  <si>
    <t>The grocery industry's sole source of news and analysis exclusively about the fresh perimeter departments.</t>
  </si>
  <si>
    <t>Innovate smarter &amp; grow faster. Discover and deliver your next big innovative idea. #LuxTake #LifeatLux #LuxSummit2021</t>
  </si>
  <si>
    <t>ASI is passionate in helping companies grow their businesses, keep up with current regulations, protect consumers, and improve their food safety programs.</t>
  </si>
  <si>
    <t>#bitcoin Your favorite trader’s favorite trader. Manage the downside _xD83D__xDCC9_ Bias closes the mind _xD83E__xDDE0_ Human Maximalist _xD83C__xDF0D_ Smell that? I just charted _xD83C__xDF7E__xD83E__xDD42_</t>
  </si>
  <si>
    <t>Vision 4 The Future
This Twitter Account is for all those who dream of a better future. Find out about the latest on anything to do with Sci-Fi and Space</t>
  </si>
  <si>
    <t>hello world</t>
  </si>
  <si>
    <t>เพราะเราเชื่อว่า ความคิดสร้างสรรค์ สร้างโลกที่ยั่งยืนได้
Greenative (Green + Creative) คือสังคมของแบรนด์ นักออกแบบ ผู้บริโภค ที่ใส่ใจความยั่งยืน</t>
  </si>
  <si>
    <t>Future Food Institute aspires to build a more equitable world, inspiring and empowering a new generation of creative and responsible food entrepreneurs.</t>
  </si>
  <si>
    <t>Delivering social impact through global food innovation. 
https://t.co/QmkN6SCVHP
https://t.co/YwPDeLJ33q
https://t.co/DkziKvnLe6</t>
  </si>
  <si>
    <t>We cultivate quality steaks directly from their cells. #MeatForEarth #MeatGrowers</t>
  </si>
  <si>
    <t>Actor and Environmentalist</t>
  </si>
  <si>
    <t>Pioneering a cleaner, kinder way of making beef.</t>
  </si>
  <si>
    <t>Veterinarian by training with a passion for growing the clean meat business in Africa to the benefit of the environment, animals and people</t>
  </si>
  <si>
    <t>#growthhacker #webmaster, #code, #php, #SEO, #webmarketing, #ecommerce #growthhacking #datamarketing #digitalmarketing #SEA #socialmarketing</t>
  </si>
  <si>
    <t>A better way to manage and analyze promotions. 
Learn more about Blacksmith Applications: https://t.co/sBl7TYVUqL</t>
  </si>
  <si>
    <t>We provide business journalism and in-depth insight into the most impactful news and trends shaping the food industry. Sign up here: https://t.co/WRWQQxyPRL</t>
  </si>
  <si>
    <t>Free research and support to help graduates find careers tackling the world's most pressing problems. Make your 80,000 hours count.</t>
  </si>
  <si>
    <t>Host of the @80000Hours Podcast: https://t.co/jMzAfONubk
Longtermist.
Make the most of your life: help others in high-impact ways!</t>
  </si>
  <si>
    <t>Philosopher of science at @univgroningen, chair @oekomoderne; interested in foundations of physics and in what effective altruists care about. (he | him | his)</t>
  </si>
  <si>
    <t>Joyance Partners is a venture capital partnership that invests in companies that deliver, or contribute to the delivery of, Delightful Moments.</t>
  </si>
  <si>
    <t>Global news from the world of vegan business. vegconomist: Markets, Trends, Companies, Startups, Interviews and more.</t>
  </si>
  <si>
    <t>A better way to make meat. We're hiring! https://t.co/OeIntKbl29</t>
  </si>
  <si>
    <t>CSO @ Roslin Tech</t>
  </si>
  <si>
    <t>Specialising in unique animal iPS cells for the cultivated meat market. We are on a mission to advance disruptive biotechnologies to improve protein production.</t>
  </si>
  <si>
    <t>Where Positive People &amp; Radio Unite! Broadcasting Live, On Demand and Podcasts since 2002. Listen at:  https://t.co/IHyaD4WifA</t>
  </si>
  <si>
    <t>Galatasaray_xD83D__xDC9B_ ❤_xD83D__xDC99_Gazi Mustafa Kemal Atatürk follow Back</t>
  </si>
  <si>
    <t>Cell-cultured seafood company, satisfying the global appetite for seafood in a fresh, sustainable and humane way. #EatBlue</t>
  </si>
  <si>
    <t>Agricultural revolution 100ft under London in disused WW2 Tunnels. Sustainably feeding the city within the city. Powered 100% by renewable energy</t>
  </si>
  <si>
    <t>US digital editor @TheEconomist. Ex-DC, SE Asia, Atlanta,London,Moscow. Author: Geographer’s Library, Unpossessed City, We See It All. Views mine.</t>
  </si>
  <si>
    <t>The latest news from @TheEconomist and our US correspondents. 
Sign up for Checks and Balance, our free newsletter on American politics https://t.co/cQnNNc0WTO</t>
  </si>
  <si>
    <t>A Dios y a mi madre, le d no lo que soy.</t>
  </si>
  <si>
    <t>News and analysis with a global perspective. Subscribe here: https://t.co/FzM1syhoM6</t>
  </si>
  <si>
    <t>here for the memes before the memes</t>
  </si>
  <si>
    <t>For All English Users</t>
  </si>
  <si>
    <t>Been quiet alone,nature inspires.Microbiologist,Real Estate agent, deem on possible ways to contain spread of HIV,lover of mystic.Thank you my Africa.</t>
  </si>
  <si>
    <t>Puts his trousers on one leg at a time, just like everybody else</t>
  </si>
  <si>
    <t># Team Australia</t>
  </si>
  <si>
    <t>_xD83D__xDC9A__xD83E__xDD0D__xD83D__xDC9C_ 
Colossians 1:16 
Ephesians 6:10</t>
  </si>
  <si>
    <t>Paulette Goddard Professor of Nutrition, Food Studies, &amp; Public Health, New York University, Emerita, and author of books about food politics.</t>
  </si>
  <si>
    <t>Nutrition-Sensitive Ag Advisor to ACIAR &amp; DFAT.
All views are my own.
PhDing in Nutrition, Mastered in Human Dev &amp; Food Security on a Health Science foundation.</t>
  </si>
  <si>
    <t>Retired Ringmaster For The Greatest Show On Earth, Now A Gentleman Of Leisure ... Go ahead, bite the Big Apple, don't mind the maggots...Living For The City</t>
  </si>
  <si>
    <t>#Marketing #Technology #Science #Humanities #Metaphysics #Spiritualist #Culture #Travel #Nature Enthusiast! Love Exploring The Mysteries Of The Universe!</t>
  </si>
  <si>
    <t>_xD83C__xDFB6_When your heart is never open that is how every empire falls_xD83C__xDFB6_</t>
  </si>
  <si>
    <t>U.S. Senator. Family farmer. Lifetime resident of New Hartford, IA. Also follow @GrassleyPress for news and information.</t>
  </si>
  <si>
    <t>ET</t>
  </si>
  <si>
    <t>Vector Research + Development Inc. is a full-service market and opinion research company and has worked in the private and public sectors for over 20 years.</t>
  </si>
  <si>
    <t>⭕️ Truth Justice Awe Wonder @MTFfilm @ghostsmovie @wateronthetable + more. _xD83C__xDFAC_ watch and share _xD83C__xDF0E_</t>
  </si>
  <si>
    <t>At UPSIDE Foods (formerly Memphis Meats), we're making your favorite food a force for good. The meat you love, but more humane, healthy, and future-friendly.</t>
  </si>
  <si>
    <t>CEO, UPSIDE Foods</t>
  </si>
  <si>
    <t>A revolution is coming to your plate. It’s real meat harvested from cells, without animal slaughter. #meatthefuture</t>
  </si>
  <si>
    <t>欧米を中心に農業・食品の動向をウォッチ。＠ethical_foodの編集部&amp;週刊エシカルフードニュース担当です。</t>
  </si>
  <si>
    <t>Actor | Model+Photographer | Holistic Health ☀️Love friends, music, nutrition, film, art, poetry, movies #amwriting_xD83C__xDF31__xD83C__xDF08__xD83C__xDF39_ Love each other _xD83D__xDDA4_❤️_xD83D__xDC99__xD83D__xDC9C__xD83D__xDC9A__xD83E__xDDE1__xD83D__xDC9B_</t>
  </si>
  <si>
    <t>Citizen of the Kingdom of Heaven
Writer and author of The Tuloc Triangle, The G.L.O.A.T and the #journeyofsoul fantasy series.</t>
  </si>
  <si>
    <t>Tax wealth not income, it's not just the right thing socially, but economically.
#Taxwealth</t>
  </si>
  <si>
    <t>Researching tech, society, orgs, &amp; ethics @SentienceInst @UChicago. Social scientist. Author. Utilitarian. Positivist. Essays in @Guardian @Qz @VoxDotCom etc.</t>
  </si>
  <si>
    <t>We are a group of passionate Research Chefs who offer consulting services for food-based businesses nationwide.</t>
  </si>
  <si>
    <t>_xD83E__xDED0_ #SIALamerica debuts in Las Vegas in March 2022, uniting the entire food community and showcasing all food and beverage categories. #inspirefoodbusiness</t>
  </si>
  <si>
    <t>Founder of https://t.co/pncEM0Z7jR and friend to all!</t>
  </si>
  <si>
    <t>The Genetic Literacy Project fosters dialogue about the scientific, social and ethical implications of human and agricultural genetics.</t>
  </si>
  <si>
    <t>Food Safety News: Breaking news for everyone's consumption; A daily online newspaper dedicated to all things food safety.</t>
  </si>
  <si>
    <t>independent NJ peace-progressive news, info &amp; community in the public interest - see you on the dark side of the moon</t>
  </si>
  <si>
    <t>Independent Green Leftist News-Culture-Info in the public interest/GratefulDreadPeaceMedia/ https://t.co/uOcMO1homY |  https://t.co/WyM4oaK3bc RTs&amp;Follows≠Endorsement</t>
  </si>
  <si>
    <t>Independent PA peace-prog-Left news, info, community media portal in the public interest - Part of @VerdantSquare Network- RT≠Endorsement https://t.co/dOL1sfLihQ</t>
  </si>
  <si>
    <t>Latest Veganism news. Automated aggregator of trending stories, tweets and videos about the Vegan diet and lifestyle. No editorial control.</t>
  </si>
  <si>
    <t>Librarian, astrologer, geek, humanitarian, student of non-dualistic spirituality, collector of books &amp; esoteric knowledge #BLM #VoteBlue2022</t>
  </si>
  <si>
    <t>#sustainability #ConsciousConsumer #CircularEconomy #recycling #ESG #ClimateCrisis
@ZeLoop_  https://t.co/Exy045PZz2 @AdvanceEsg @nature_hub
https://t.co/EU2lEuXbIl</t>
  </si>
  <si>
    <t>I'm from space, the final frontier. 
   function JanuaryTwentieth() {
  alert(r3sident not Pr3sident);
}</t>
  </si>
  <si>
    <t>Stand up comic/mixed martial arts fanatic/psychedelic adventurer Host of The Joe Rogan Experience #FreakParty https://t.co/caBUmcvqBY</t>
  </si>
  <si>
    <t>Music | Faith | Family | My favorite people call me daddy | Big _xD83C__xDDFA__xD83C__xDDF8_ Energy |</t>
  </si>
  <si>
    <t>Dogs | Liberty | Former Footbeat Cop | America _xD83C__xDDFA__xD83C__xDDF8_</t>
  </si>
  <si>
    <t>Gone but not forgotten. The truth must be told. Follow for reality from the after(Twitter)life.</t>
  </si>
  <si>
    <t>MAGA, Patriot. 100% pro law enforcement/military. People who don't follow back are the ones that go 50 in the left lane. Blocked by @matthewjdowd, @charlesmblow</t>
  </si>
  <si>
    <t>Shaun Coffey - reflexive practice, R&amp;D, leadership, agricultural science, capacity building, lessons from history. Links &amp; RTs not endorsements.</t>
  </si>
  <si>
    <t>With your community by your side, there’s no telling where your next small steps could lead. #InItTogether (@LinkedInHelp for customer service)</t>
  </si>
  <si>
    <t>Director of IMNIS a mentoring and networking initative for PhD students in STEM. On Board of Dairy Australia and GALVmed.</t>
  </si>
  <si>
    <t>Alan walker</t>
  </si>
  <si>
    <t>60+ male..interests in marine science, earth ecosystems and humaneness</t>
  </si>
  <si>
    <t>サイバーパンクなおじさん
digital hermit</t>
  </si>
  <si>
    <t>Reliable</t>
  </si>
  <si>
    <t>Sustainability is the key.</t>
  </si>
  <si>
    <t>Family❤️ Field Technical Consultant with JET AVIATION. Freelance Contractor. Super Dad. Optimist. Thinker.</t>
  </si>
  <si>
    <t>Plants. In. Space. #astrobotany #ethnobotany #spacegardening
Host and Producer of the Gardeners of the Galaxy podcast.
Earth gardening @emmathegardener</t>
  </si>
  <si>
    <t>CEO of @BlueNaluInc. On a mission to satisfy the global appetite for seafood in a fresh, sustainable and humane way. #EatBlue</t>
  </si>
  <si>
    <t>Director/Producer of features, shorts and music videos. Intimacy Coordinator and founder of https://t.co/o6gNXO7XOd #TIMESUP #METOO</t>
  </si>
  <si>
    <t>Help animals and Go vegan! _xD83C__xDF31_ Compassion is my religion _xD83E__xDDD8_‍♀️_xD83E__xDD8B__xD83C__xDF3E_#AdoptDontShop #FurFree #DogMeatTrade #AnimalRights #Govegan #EndSpeciesism #StopAnimalTesting</t>
  </si>
  <si>
    <t>Cell-based meat #3Dprinting #beef #cleanmeat #bioprinting #cellag #culturedmeat #cultivatedmeat #cellbased listed on the NASDAQ $MITC</t>
  </si>
  <si>
    <t>I build things, stories, companies, collaborations of thoughts, dreams, &amp; believe in a future where we all have a right to pursue happiness. +1 (319) 519-0576</t>
  </si>
  <si>
    <t>The world's #1 plant-based food + lifestyle magazine</t>
  </si>
  <si>
    <t>wildlife~#EmptyTheCages ~None is free until all are free
Praying for safe haven for all animals far away from humans!</t>
  </si>
  <si>
    <t>SVP @Ring_Tx. Ex @SanofiPasteur. Science, biotech, viruses, infections, vaccines, space, the future. Often distracted by current events. Opinions mine._xD83C__xDDE8__xD83C__xDDE6__xD83C__xDDFA__xD83C__xDDF8_</t>
  </si>
  <si>
    <t>Analysis, at the speed of sound. Podcasts from The Economist's journalists, including The Intelligence, our daily podcast</t>
  </si>
  <si>
    <t>UC Davis Professor &amp; Air Quality CE Specialist, Dept Animal Science; Director, CLEAR Center; Opinions are mine, Blog: https://t.co/k2rYOcJ6hF</t>
  </si>
  <si>
    <t>Natural skeptic, unnecessarily argumentative too often, I love agriculture and deeply respect those who put their skin in the game</t>
  </si>
  <si>
    <t>"Non mangerò MAI niente che abbia avuto gli OCCHI"..Dr.Kellog</t>
  </si>
  <si>
    <t>Strap on, and be prepared as the UP Cell Biological Society revolutionize the future of our feasts _xD83C__xDF57__xD83D__xDC40_. Science and Virtue | Est. 1990</t>
  </si>
  <si>
    <t>cats rule the world</t>
  </si>
  <si>
    <t>I'm a supporter of the multiverse theory in astrophysics and society.</t>
  </si>
  <si>
    <t>_xD83C__xDF0A_Resisting fascists/racists. We had one 80 yrs ago—NEVER AGAIN. NoAFD.
AntiTrump. Atheist. Pro_xD83D__xDD2F_. #BLM. Love dogs/cats/intelligent humans. FilmBuff.
NO LISTS!</t>
  </si>
  <si>
    <t>Join the Food Tech Matters virtual event connecting international industry and investors with the most disruptive start-ups in #foodtech. 29-30 November 2021</t>
  </si>
  <si>
    <t>3D Printing Evangelist last 18+ years working for eight 3DP manufacturers such as ZCorp, 3D Systems, Objet, Stratasys, Arcam/GE, Desktop Metal, Arevo &amp; Azul3D.</t>
  </si>
  <si>
    <t>We energize your business! Are you looking for a show to exhibit or have a road show produced or an association with an event, Koelnmesse is your global partner</t>
  </si>
  <si>
    <t>Editor and Publisher of Global Retail Brands magazine. We cover the retailers and suppliers serving the worldwide private label industry.</t>
  </si>
  <si>
    <t>You're not your fucking khakis.</t>
  </si>
  <si>
    <t>Professional Tarot Reader
Occasional Smart Ass
Somewhat Decent Person</t>
  </si>
  <si>
    <t>Taiwanese, love nature, agriculture and technology. work for AG Industries analysis.</t>
  </si>
  <si>
    <t>✨ In a Process ✨</t>
  </si>
  <si>
    <t>Geopolitica. Ciencas sociales. Pero sobre todo ARTE. ♥️&amp; Peace.</t>
  </si>
  <si>
    <t>film/photography/art/visual culture/ baseball/HSP/ life. everything is wrong, but it’s alright. なんかぜんぶめんどくせえ。the future is now. 不接受鎖推轉推、截圖轉發、轉發其他平台。</t>
  </si>
  <si>
    <t>analytics lead &amp; investor &amp; advisor. always learning = business &amp; innovation. doing #datascience. views are my own.</t>
  </si>
  <si>
    <t>Shiok Meats is a cell-based clean meat company employing cellular agriculture to produce seafood and meats. We are based in Singapore</t>
  </si>
  <si>
    <t>Head of Eng @VowFood, reinventing food for a sustainable, delicious future. We cultivate meat from cells &amp; use automation to get us there. Previously @Plaid.</t>
  </si>
  <si>
    <t>https://t.co/3DmohJAy1Y _xD83C__xDDFA__xD83C__xDDF8_, a.k.a _xD83D__xDE4F_</t>
  </si>
  <si>
    <t>Adj Asst Prof @CUNY. Words @MHEducation @saberscroll @siadvance. Creator of The Average Joe edu &amp; info platform. Vet @USarmy #Twitterstorians #infosec #techgeek</t>
  </si>
  <si>
    <t>Replacing Flowers With Vegetables. Enjoy tasty and healthy vegetables! Raised bed planter kit for vegetable gardening. #rooftop #urbangardening #vegetables</t>
  </si>
  <si>
    <t>Persona.  Con criterio de mi propia cosecha.</t>
  </si>
  <si>
    <t>$QCOM 5G FW engineer / investor. The Innovator's Dilemma. 7 Powers. Zero to One. Contrarian thoughts please.</t>
  </si>
  <si>
    <t>animal sujet
https://t.co/36kKR1Gdom ; 
Sentients libres  
https://t.co/82ZvxEWr0j ; 
Les animaux dans la fiction  
https://t.co/xveyfog4YC
Ph grèbe : cgr</t>
  </si>
  <si>
    <t>Maker culture is a contemporary subculture representing a technology-based extension of DIY culture.</t>
  </si>
  <si>
    <t>_xD83D__xDC9A_ Let's make this a better place to live. _xD83C__xDF3F_ Follow us on INSTAGRAM @ VeganKnowledge_ 183K community _xD83D__xDE07__xD83D__xDC9C_</t>
  </si>
  <si>
    <t>Koberg Capital - privately managed public and private equities. Awareness and collaboration through community.</t>
  </si>
  <si>
    <t>_xD83C__xDF0A_ The world's 1st and ONLY sustainable producer of ocean-raised striped bass. A sustainable marine protein that's good for you and the planet! #PacificoBass</t>
  </si>
  <si>
    <t>#Technophile, #Entrepreneur &amp; Actor. Sharing information on #Foodtech #Agtech, #Agriculture and the #FutureofFood.</t>
  </si>
  <si>
    <t>Science/environment writer and occasional photographer. Still more occasional documentary and podcast wannabe. Opinions are my own - unless they’re erudite…</t>
  </si>
  <si>
    <t>linking with good people to raise awareness of the climate crisis and environmental destruction to protect wildlife and restore habitats for future generations</t>
  </si>
  <si>
    <t>writer, cinephile, homosupremacist. @MichenerCenter ‘18.</t>
  </si>
  <si>
    <t>Animal advocate, author. Global CEO: Compassion in World Farming, Visiting Professor Winchester, President: Eurogroup for Animals
Books Farmageddon, Dead Zone.</t>
  </si>
  <si>
    <t>Subscribe to The Scotsman for news, opinion and expert analysis from Scotland’s national newspaper: https://t.co/Raf1e6ZJmQ</t>
  </si>
  <si>
    <t>Midlands-based empty-nester. Saucy Nutloaf_xD83C__xDF31_Diverse interests. Crochet dependent. Worried about what we humans are doing to our planet &amp; its inhabitants._xD83E__xDD94__xD83D__xDC1D__xD83D__xDC37_</t>
  </si>
  <si>
    <t>23 _xD83C__xDFF3_️‍_xD83C__xDF08_</t>
  </si>
  <si>
    <t>We advise on cutting edge synthetic biology, alternative proteins, and high tech foods. More at https://t.co/55KteMRwbc, contact at https://t.co/9O13mYhurv</t>
  </si>
  <si>
    <t>_xD83C__xDF0E_ We create sustainable cultivated meat delights for an uncompromising and conscious generation. (_xD83E__xDD84_ Join us to accelerate our mission: https://t.co/LELHGZT3If)</t>
  </si>
  <si>
    <t>Asia's Award-Winning Impact Media: Sustainability • Alt Protein • Zero Waste • Eco Living  • Wellness • Circular Economy • Climate Change • Plant-Based</t>
  </si>
  <si>
    <t>#FoodIngredientsFirst is the leading international publisher on food #ingredients. 
Stay up to date with our newsletters: https://t.co/m32QmlAuzA</t>
  </si>
  <si>
    <t>Advancing protein literacy for safer, more sustainable food systems. Protein economy news and industry platform.</t>
  </si>
  <si>
    <t>Making healthy and nutritious cultured meat in Africa</t>
  </si>
  <si>
    <t>Exploring the #futureoffood. Sign up for our weekly newsletter on #cellag</t>
  </si>
  <si>
    <t>CEO of @WildEarthPets WE ACCEPT $BTC $ETH _xD83C__xDF31__xD83D__xDC36__xD83C__xDF0E_ Going HARD in the metaverse, future of food &amp; biotech. Partner @SFV_rollingfund @angellist and @babelventures</t>
  </si>
  <si>
    <t>Ecologist Exeter Uni 2 days per week, conservation practitioner 5 days per week, writer, rockpool explorer, nomad the rest of the week</t>
  </si>
  <si>
    <t>Host of Functional food podcast.  Would love to chat and have you on the podcast to talk about Food. https://t.co/wxqzDyyGvO</t>
  </si>
  <si>
    <t>Education Coordinator with Arrell Food Institute at University of Guelph. Enjoy working with amazing groups of students and people on issues in food and ag.</t>
  </si>
  <si>
    <t>Entrepreneur, Investor and Engineer</t>
  </si>
  <si>
    <t>Meat without slaughter.
Tastier. Safer. More sustainable.</t>
  </si>
  <si>
    <t>Really good eggs, from plants.</t>
  </si>
  <si>
    <t>Focused on runners in Canadian Markets #CSE #TSX #TSXV and #NFT projects with longevity.</t>
  </si>
  <si>
    <t>Concerned about nature. We need nature but nature can do very well without us. If we don’t take care of nature, she will take care of us. Vegan for life.</t>
  </si>
  <si>
    <t>#Vegan #EatingOurWayToExtinction #Schopenhauer #TheGameChangers #Cowspiracy #ALifeOnOurPlanet #WhatTheHealth #Seaspiracy #EndGame2050 #Pigoneer #LoveUK</t>
  </si>
  <si>
    <t>BA(Hons) Applied Linguistics MA (Language and Society) Dipmus Psycholinguist legal Interpreter Translator Classical pianist 
#VEGAN _xD83C__xDF31_ _xD83C__xDF0D__xD83D__xDC9A_
#vaccinated_xD83D__xDC89_</t>
  </si>
  <si>
    <t>Vegan, animal rights petitioner to try to change the law in the UK to treat animals as sentinent beings with same rights to be alive for their natural lifetime.</t>
  </si>
  <si>
    <t xml:space="preserve">Canada </t>
  </si>
  <si>
    <t>Oxford and New York</t>
  </si>
  <si>
    <t>West Coast</t>
  </si>
  <si>
    <t>Los Angeles, California</t>
  </si>
  <si>
    <t>Santa Pod, UK</t>
  </si>
  <si>
    <t xml:space="preserve">_xD83C__xDDEA__xD83C__xDDFA_ </t>
  </si>
  <si>
    <t>Maryland</t>
  </si>
  <si>
    <t>Kansas City, Mo.</t>
  </si>
  <si>
    <t>PNW</t>
  </si>
  <si>
    <t>San Francisco</t>
  </si>
  <si>
    <t>Germany</t>
  </si>
  <si>
    <t>London</t>
  </si>
  <si>
    <t>Kansas City, Missouri</t>
  </si>
  <si>
    <t>America, Asia Pacific, EMEA</t>
  </si>
  <si>
    <t>International</t>
  </si>
  <si>
    <t>in Lambo on Moon</t>
  </si>
  <si>
    <t>London, England</t>
  </si>
  <si>
    <t>United States</t>
  </si>
  <si>
    <t>Bologna, IT &amp; San Francisco, CA</t>
  </si>
  <si>
    <t>San Francisco, CA</t>
  </si>
  <si>
    <t>Israel</t>
  </si>
  <si>
    <t>Los Angeles, CA</t>
  </si>
  <si>
    <t>The Netherlands</t>
  </si>
  <si>
    <t>Paris - France</t>
  </si>
  <si>
    <t>Lawrence MA</t>
  </si>
  <si>
    <t>Washington, DC</t>
  </si>
  <si>
    <t>United Kingdom</t>
  </si>
  <si>
    <t>Groningen, Nederland</t>
  </si>
  <si>
    <t>Berkeley, CA</t>
  </si>
  <si>
    <t>Edinburgh, United Kingdom</t>
  </si>
  <si>
    <t>Edinburgh</t>
  </si>
  <si>
    <t>San Diego, CA</t>
  </si>
  <si>
    <t xml:space="preserve">Clapham. London </t>
  </si>
  <si>
    <t>Washington</t>
  </si>
  <si>
    <t>8th Sea</t>
  </si>
  <si>
    <t>NSW</t>
  </si>
  <si>
    <t>Global</t>
  </si>
  <si>
    <t>Bangkok, Thailand</t>
  </si>
  <si>
    <t>New York</t>
  </si>
  <si>
    <t>Sydney, New South Wales</t>
  </si>
  <si>
    <t>New York Fucking City 3rd &amp; 43</t>
  </si>
  <si>
    <t>Thane, India</t>
  </si>
  <si>
    <t xml:space="preserve">NE Iowa </t>
  </si>
  <si>
    <t>Iowa</t>
  </si>
  <si>
    <t>Toronto</t>
  </si>
  <si>
    <t xml:space="preserve">shíshálh, sḵwx̱wú7mesh BC </t>
  </si>
  <si>
    <t>outer space</t>
  </si>
  <si>
    <t>Mitchell's Plain, South Africa</t>
  </si>
  <si>
    <t>England, United Kingdom</t>
  </si>
  <si>
    <t>Chicago, IL</t>
  </si>
  <si>
    <t>Austin, TX &amp; Denver, CO</t>
  </si>
  <si>
    <t>Las Vegas, NV</t>
  </si>
  <si>
    <t>Seattle/Denver/Kansas City/Washington, DC</t>
  </si>
  <si>
    <t>New Providence, NJ</t>
  </si>
  <si>
    <t>Philadelphia, PA</t>
  </si>
  <si>
    <t xml:space="preserve">Earth, for now </t>
  </si>
  <si>
    <t xml:space="preserve">Earth </t>
  </si>
  <si>
    <t>Reality</t>
  </si>
  <si>
    <t>Australia</t>
  </si>
  <si>
    <t>Sunnyvale, CA</t>
  </si>
  <si>
    <t>Melbourne, Victoria</t>
  </si>
  <si>
    <t>Kochi, Kerala, India</t>
  </si>
  <si>
    <t>Iqaluit, Nunavut</t>
  </si>
  <si>
    <t>Low Earth Orbit _xD83D__xDEF0_</t>
  </si>
  <si>
    <t>Boston area</t>
  </si>
  <si>
    <t>Davis, CA</t>
  </si>
  <si>
    <t>Marte..lato oscuro..</t>
  </si>
  <si>
    <t>UPLB</t>
  </si>
  <si>
    <t>Berlin</t>
  </si>
  <si>
    <t>Greater Boston Area</t>
  </si>
  <si>
    <t>Semarang</t>
  </si>
  <si>
    <t>Everywhere</t>
  </si>
  <si>
    <t>Youngstown, OH</t>
  </si>
  <si>
    <t>Taiwan</t>
  </si>
  <si>
    <t>Singapore</t>
  </si>
  <si>
    <t>Sydney, Australia</t>
  </si>
  <si>
    <t>대한민국 서울</t>
  </si>
  <si>
    <t>New York, NY</t>
  </si>
  <si>
    <t>France</t>
  </si>
  <si>
    <t>MAKING | HACKING | TINKERING</t>
  </si>
  <si>
    <t>Worldwide</t>
  </si>
  <si>
    <t>Oregon, USA</t>
  </si>
  <si>
    <t>Ensenada, Baja California</t>
  </si>
  <si>
    <t>Perth, Western Australia</t>
  </si>
  <si>
    <t>aotearoa new zealand</t>
  </si>
  <si>
    <t>Texas, USA</t>
  </si>
  <si>
    <t>CIWF International, offices in 12 countries, inc UK, USA, Brussels &amp; China.</t>
  </si>
  <si>
    <t>Scotland</t>
  </si>
  <si>
    <t>UK</t>
  </si>
  <si>
    <t>Florida, USA</t>
  </si>
  <si>
    <t>Cambridge, MA</t>
  </si>
  <si>
    <t>Paris, France</t>
  </si>
  <si>
    <t>Asia (Head Office: Hong Kong)</t>
  </si>
  <si>
    <t>Arnhem, The Netherlands</t>
  </si>
  <si>
    <t>Pretoria, South Africa</t>
  </si>
  <si>
    <t>Dubai / Singapore</t>
  </si>
  <si>
    <t>Metaverse</t>
  </si>
  <si>
    <t>Falmouth, Ventnor, England etc</t>
  </si>
  <si>
    <t>Guelph, Ontario</t>
  </si>
  <si>
    <t>USA</t>
  </si>
  <si>
    <t>Open Twitter Page for This Person</t>
  </si>
  <si>
    <t>plantfinance
Momentum For Cultured Meat: A new
report from @OUPEconomics unveiled
that cell-based meat will make
up 9 to 12 percent of consumer
demand for meat in 2030 and projected
that cultured meat sales will exceed
$100B by 2040. Lab based meat is
the future.</t>
  </si>
  <si>
    <t xml:space="preserve">oupeconomics
</t>
  </si>
  <si>
    <t>jeremyszafron
Momentum For Cultured Meat: A new
report from @OUPEconomics unveiled
that cell-based meat will make
up 9 to 12 percent of consumer
demand for meat in 2030 and projected
that cultured meat sales will exceed
$100B by 2040. Lab based meat is
the future.</t>
  </si>
  <si>
    <t>michelersimon
@Freewheal Do you know why mung
bean would be added to biotech
aka cell-based chicken? "Currently,
only 70 percent of Eat Just’s Singapore
chicken product consists of lab
meat." https://t.co/NjKfBLhOsX</t>
  </si>
  <si>
    <t xml:space="preserve">freewheal
</t>
  </si>
  <si>
    <t>foodpreneurscom
The term "cultivated meat" seems
to be the most popular nomenclature
nowadays when compared to other
terms such as "cultured" or "cell-based".
_xD83E__xDD14_ What's your opinion on this?
@GoodFoodInst   https://t.co/sZZ3OApVFm</t>
  </si>
  <si>
    <t>goodfoodinst
As a matter of FAT, this is a big
deal _xD83E__xDDEB__xD83C__xDF54__xD83D__xDD25_ Chinese startup HEROTEIN
(formerly known as HERO Protein)
has entered into a strategic partnership
w/ US-based cultivated fat producer
@MissionBarns to launch hybrid
cultivated meat/plant-based meat
products. https://t.co/QWmFeCF8ah
https://t.co/vNvkyWN3Zq</t>
  </si>
  <si>
    <t>meganpoinski
75% of companies making meat from
cells say "cultivated meat" is
the preferred term for their product,
according to a poll from the @GoodFoodInst
https://t.co/27m1luSqkL</t>
  </si>
  <si>
    <t>welllibrarian
75% of companies making meat from
cells say "cultivated meat" is
the preferred term for their product,
according to a poll from the @GoodFoodInst
https://t.co/27m1luSqkL</t>
  </si>
  <si>
    <t>meatpoultry
From the Daily ➡️ Startups are
serious about cell-based meat production.
But challenges lie ahead. https://t.co/APbwwzI0BI</t>
  </si>
  <si>
    <t>b1allpurpose
"Can We Enjoy Meat and Seafood
and Save the Planet?" ...sort of.
Absolutely nothing wrong with whole
foods. Eating this as a treat,
okay. Bring it on. https://t.co/Th5tYkjmmj</t>
  </si>
  <si>
    <t>joshuamarch
Finally the cultivated meat industry
starting to come together around
the label 'cultivated'. Historically
everyone has used different language,
which is why journalists are still
calling it 'lab grown meat'—which
is incorrect, and damaging https://t.co/sF2S9vGVH9</t>
  </si>
  <si>
    <t>chill_purr
@barbkiser I am not aware of any
cell based meat sold in supermarkets
at this time but: "Singapore production
line includes foetal bovine serum
... A plant-based serum would be
used in the next production line"
https://t.co/YgJkXA0jGC</t>
  </si>
  <si>
    <t xml:space="preserve">barbkiser
</t>
  </si>
  <si>
    <t>smperimeter
The #cellbased #meatinfustry industry
still faces a major challenge in
regulatory approval, according
to a new report from @LuxResearch.
#foodtrends #meatrends #futureoffood
https://t.co/7qGtpVKLYT</t>
  </si>
  <si>
    <t xml:space="preserve">luxresearch
</t>
  </si>
  <si>
    <t>asifood
As new technologies redefine the
nature and source of "meat," the
question of how cell-based meat
and poultry will be labeled is
nearing the rulemaking stage. Consumer
input will serve as guidance. https://t.co/r6YeogjtAW</t>
  </si>
  <si>
    <t>sirlambomoon
Lab-Made Dairy Products You’ve
heard of cultured “meat” and Wagyu
steaks grown cell by cell in a
laboratory, but what about other
animal-based foodstuffs? #invention
#newinvention #newinventions #newtech
#futuretech #newtechnology #futuretechnology
https://t.co/UrQy1TlLTl</t>
  </si>
  <si>
    <t>vision4future1
Lab-Made Dairy Products You’ve
heard of cultured “meat” and Wagyu
steaks grown cell by cell in a
laboratory, but what about other
animal-based foodstuffs? #invention
#newinvention #newinventions #newtech
#futuretech #newtechnology #futuretechnology
https://t.co/UrQy1TlLTl</t>
  </si>
  <si>
    <t>whatisayisnt
Lab-Made Dairy Products You’ve
heard of cultured “meat” and Wagyu
steaks grown cell by cell in a
laboratory, but what about other
animal-based foodstuffs? #invention
#newinvention #newinventions #newtech
#futuretech #newtechnology #futuretechnology
https://t.co/UrQy1TlLTl</t>
  </si>
  <si>
    <t>greenative_co
เปรียบเทียบความเหมือน ความต่าง
จุดเด่นและจุดด้อยของ เนื้อจากพืช
(Plant-based Meat) และเนื้อสังเคราะห์
(Cell-based Meat) ว่าที่โปรตีนทางเลือกแห่งอนาคต
ที่อาจกลายเป็นคำตอบของความยั่งยืนทางอาหาร
#Greenative #PlantBasedMeat #CellBasedMeat
อ่านเพิ่มเติมที่ https://t.co/wB9bRoigdW
https://t.co/hawb9oDP0h</t>
  </si>
  <si>
    <t>ffoodinstitute
From celebrities to major influencers,
we are seeing more and more celebrities
investing in upcoming brands. Recently,
@LeoDiCaprio has invested into
2 startups focused on creating
cell-based meat alternatives: @AlephFarms
and @mosa_meat. https://t.co/JVDHnexdG3_xD83D__xDC49_@ClaireCecchini</t>
  </si>
  <si>
    <t xml:space="preserve">clairececchini
</t>
  </si>
  <si>
    <t>alephfarms
From celebrities to major influencers,
we are seeing more and more celebrities
investing in upcoming brands. Recently,
@LeoDiCaprio has invested into
2 startups focused on creating
cell-based meat alternatives: @AlephFarms
and @mosa_meat. https://t.co/JVDHnexdG3_xD83D__xDC49_@ClaireCecchini</t>
  </si>
  <si>
    <t xml:space="preserve">leodicaprio
</t>
  </si>
  <si>
    <t xml:space="preserve">mosa_meat
</t>
  </si>
  <si>
    <t>drpaulbartels1
#xprize #CoMogale https://t.co/GFy4uz2DuJ</t>
  </si>
  <si>
    <t>ironstar95
Lab-Made Dairy Products You’ve
heard of cultured “meat” and Wagyu
steaks grown cell by cell in a
laboratory, but what about other
animal-based foodstuffs? #invention
#newinvention #newinventions #newtech
#futuretech #newtechnology #futuretechnology
https://t.co/UrQy1TlLTl</t>
  </si>
  <si>
    <t>blacksmithapps
75% of cell-based meat companies
prefer the term 'cultivated' for
their products https://t.co/0pZ4UoauQB
/ @FoodDive</t>
  </si>
  <si>
    <t xml:space="preserve">fooddive
</t>
  </si>
  <si>
    <t>80000hours
A pessimistic 'techno-economic
analysis' arguing that cell-based
agriculture faces a lot of difficult
technical challenges on the path
to becoming cost-competitive with
factory-farmed meat: https://t.co/j9pNGx1Owg</t>
  </si>
  <si>
    <t>robertwiblin
A pessimistic 'techno-economic
analysis' arguing that cell-based
agriculture faces a lot of difficult
technical challenges on the path
to becoming cost-competitive with
factory-farmed meat: https://t.co/j9pNGx1Owg</t>
  </si>
  <si>
    <t>simonfriederich
A pessimistic 'techno-economic
analysis' arguing that cell-based
agriculture faces a lot of difficult
technical challenges on the path
to becoming cost-competitive with
factory-farmed meat: https://t.co/j9pNGx1Owg</t>
  </si>
  <si>
    <t>joyancepartners
"Mission Barns raised $24M, w/
plans to upscale its cell-cultured
fat technology &amp;amp; build a pilot
factory in the Bay Area." HEROTEIN
partners w/ portfolio co. @MissionBarns
to bring 1st hybrid cultivated/plant-based
meat products to China (via @vegconomist)
https://t.co/XSufKpVeML</t>
  </si>
  <si>
    <t xml:space="preserve">vegconomist
</t>
  </si>
  <si>
    <t xml:space="preserve">missionbarns
</t>
  </si>
  <si>
    <t>profjbmatthews
'The emerging #CultivatedMeat ecosystem
in the UK can make the country
a “powerhouse for alternative proteins,
exporting our products and technology
across the globe and reducing the
UK’s reliance on imported meat.”'
We couldn't agree more! _xD83D__xDC16__xD83D__xDC04_ https://t.co/JnU3FZvifK</t>
  </si>
  <si>
    <t>roslintech
'The emerging #CultivatedMeat ecosystem
in the UK can make the country
a “powerhouse for alternative proteins,
exporting our products and technology
across the globe and reducing the
UK’s reliance on imported meat.”'
We couldn't agree more! _xD83D__xDC16__xD83D__xDC04_ https://t.co/JnU3FZvifK</t>
  </si>
  <si>
    <t>positiveradio
cell based 'LAB meat' is not selling
so they're going to change the
name of this GMO bio-engineered
Frankenfood to get you to buy this
unhealthy stuff. https://t.co/rOPn15XWub</t>
  </si>
  <si>
    <t>hakangunery_
On “Babbage”, with @jonfasman:
- Could lab-grown and plant-based
meat be the future of food? - @GrownUnder
explores the merits of vertical
farming - How cell-cultured seafood
from @BlueNaluInc could replace
traditional fish farming https://t.co/aTDFDZtXLP</t>
  </si>
  <si>
    <t xml:space="preserve">bluenaluinc
</t>
  </si>
  <si>
    <t>grownunder
On “Babbage”, with @jonfasman:
- Could lab-grown and plant-based
meat be the future of food? - @GrownUnder
explores the merits of vertical
farming - How cell-cultured seafood
from @BlueNaluInc could replace
traditional fish farming https://t.co/kpXp9xtbo9</t>
  </si>
  <si>
    <t xml:space="preserve">jonfasman
</t>
  </si>
  <si>
    <t>econus
On “Babbage”, with @jonfasman:
- Could lab-grown and plant-based
meat be the future of food? - @GrownUnder
explores the merits of vertical
farming - How cell-cultured seafood
from @BlueNaluInc could replace
traditional fish farming https://t.co/h4Dd2NORy3</t>
  </si>
  <si>
    <t>susanamdeleon2
On “Babbage”, with @jonfasman:
- Could lab-grown and plant-based
meat be the future of food? - @GrownUnder
explores the merits of vertical
farming - How cell-cultured seafood
from @BlueNaluInc could replace
traditional fish farming https://t.co/3PiHMTtzSb</t>
  </si>
  <si>
    <t>theeconomist
On “Babbage”, with @jonfasman:
- Could lab-grown and plant-based
meat be the future of food? - @GrownUnder
explores the merits of vertical
farming - How cell-cultured seafood
from @BlueNaluInc could replace
traditional fish farming https://t.co/WVRwLLHuXm</t>
  </si>
  <si>
    <t>moh_nis
On “Babbage”, with @jonfasman:
- Could lab-grown and plant-based
meat be the future of food? - @GrownUnder
explores the merits of vertical
farming - How cell-cultured seafood
from @BlueNaluInc could replace
traditional fish farming https://t.co/3PiHMTtzSb</t>
  </si>
  <si>
    <t>world_news_eng
On “Babbage”, with @jonfasman:
- Could lab-grown and plant-based
meat be the future of food? - @GrownUnder
explores the merits of vertical
farming - How cell-cultured seafood
from @BlueNaluInc could replace
traditional fish farming https://t.co/3PiHMTtzSb</t>
  </si>
  <si>
    <t>ezeonufo
On “Babbage”, with @jonfasman:
- Could lab-grown and plant-based
meat be the future of food? - @GrownUnder
explores the merits of vertical
farming - How cell-cultured seafood
from @BlueNaluInc could replace
traditional fish farming https://t.co/3PiHMTtzSb</t>
  </si>
  <si>
    <t>deucejaxon
On “Babbage”, with @jonfasman:
- Could lab-grown and plant-based
meat be the future of food? - @GrownUnder
explores the merits of vertical
farming - How cell-cultured seafood
from @BlueNaluInc could replace
traditional fish farming https://t.co/3PiHMTtzSb</t>
  </si>
  <si>
    <t>andrew41544161
Australian Company To Create Cell-Based
Meat From 'Exotic' Animals Like
Kangaroo And Lion https://t.co/I5LIRuMN9K</t>
  </si>
  <si>
    <t>jungian_soul
1950 - grain fed natural beef 2021
- fact checking the cell based
meat.</t>
  </si>
  <si>
    <t>y_supansa
On “Babbage”, with @jonfasman:
- Could lab-grown and plant-based
meat be the future of food? - @GrownUnder
explores the merits of vertical
farming - How cell-cultured seafood
from @BlueNaluInc could replace
traditional fish farming https://t.co/3PiHMTtzSb</t>
  </si>
  <si>
    <t>marionnestle
Meat alternatives: cell-based https://t.co/f3nZ1rBcnT</t>
  </si>
  <si>
    <t>jessica_raneri
Meat alternatives: cell-based https://t.co/f3nZ1rBcnT</t>
  </si>
  <si>
    <t>gregory_chupa
One that’s been used in Singapore
but not available here on the market
yet is cell-based protein. That’s
where you take the cell of an animal
— a cow or a pig — and you grow
the meat, not the animal, in the
lab. So it will be an actual hamburger
or a steak. This way you don’t
... https://t.co/aqvVNiK1fe</t>
  </si>
  <si>
    <t>glorydey1
On “Babbage”, with @jonfasman:
- Could lab-grown and plant-based
meat be the future of food? - @GrownUnder
explores the merits of vertical
farming - How cell-cultured seafood
from @BlueNaluInc could replace
traditional fish farming https://t.co/3PiHMTtzSb</t>
  </si>
  <si>
    <t>steve_ia_hill
@ChuckGrassley Israeli startup
that makes cell-based meat just
opened a pilot facility to produce
5,000 slaughter-free burgers a
day. The CEO of Cargill recently
said that plant-based meat could
make up as much as 10 percent of
the meat market within a few years.
Times are changing, Chuck.</t>
  </si>
  <si>
    <t xml:space="preserve">chuckgrassley
</t>
  </si>
  <si>
    <t>ozzyconda
Australian Company To Create Cell-Based
Meat From 'Exotic' Animals Like
Kangaroo And Lion https://t.co/I5LIRuMN9K</t>
  </si>
  <si>
    <t>vectorresearch
What should we call lab meat? Clean
meat? Cultivated? Cultured? Cell-based?
Lab-grown? https://t.co/matCxnZCPp</t>
  </si>
  <si>
    <t>lizmarsfilm
5 yrs ago we launched our filmmaking
journey to chronicle the birth
of the “clean” “cultured” “cell-based”
“cultivated” meat movement, through
the eyes of @UmaValeti and @upsidefoods
_xD83C__xDF89_ it’s been well worth it. Do
you agree? #MyTwitterAnniversary
https://t.co/DW4wbj83y8</t>
  </si>
  <si>
    <t xml:space="preserve">upsidefoods
</t>
  </si>
  <si>
    <t xml:space="preserve">umavaleti
</t>
  </si>
  <si>
    <t>mtffilm
5 yrs ago we launched our filmmaking
journey to chronicle the birth
of the “clean” “cultured” “cell-based”
“cultivated” meat movement, through
the eyes of @UmaValeti and @upsidefoods
_xD83C__xDF89_ it’s been well worth it. Do
you agree? #MyTwitterAnniversary
https://t.co/DW4wbj83y8</t>
  </si>
  <si>
    <t>toshichimura
USDAが培養肉の表記についてパブコメを集めているなか、培養肉メーカーの75%がcultivatedを表記として好ましいと考えているとGFIの調査結果。メーカーからするとそうかもしれないが、cellを入れないのは消費者保護としてまずいので、cell
culturedあたりに落ち着くのでは。 https://t.co/6IbEB1UfU9</t>
  </si>
  <si>
    <t>audreyeseybold
What do you think about cell-based
meat?</t>
  </si>
  <si>
    <t>jantjieskyle
@AudreyESeybold I do not think
about cell based meat</t>
  </si>
  <si>
    <t>avf_scooby2000
@jacyanthis 'Cultured' sounds more
accurate as to what it is. Lab-grown
makes it sound artificial, which
it isn't, cell - based meat sounds
a little detached.</t>
  </si>
  <si>
    <t xml:space="preserve">jacyanthis
</t>
  </si>
  <si>
    <t>culinarycultur1
#FoodPoll for you: Would you prefer
cell-based meat to be called: 1.
Cultivated 2. Cultured 3. Cell-Based
Comment to let us know! #food #alternativeprotien
https://t.co/mQgvasTjkT</t>
  </si>
  <si>
    <t>sial_america
#FoodPoll for you: Would you prefer
cell-based meat to be called: 1.
Cultivated 2. Cultured 3. Cell-Based
Comment to let us know! #food #alternativeprotien
https://t.co/mQgvasTjkT</t>
  </si>
  <si>
    <t>ra_mc
5 yrs ago we launched our filmmaking
journey to chronicle the birth
of the “clean” “cultured” “cell-based”
“cultivated” meat movement, through
the eyes of @UmaValeti and @upsidefoods
_xD83C__xDF89_ it’s been well worth it. Do
you agree? #MyTwitterAnniversary
https://t.co/DW4wbj83y8</t>
  </si>
  <si>
    <t>3dprintmaven
Ashton Kutcher Joins Cell-Based
Meat Company to Develop 3D Bioprinting
#3dprinting https://t.co/w5jhFL4ukQ</t>
  </si>
  <si>
    <t>mslisawilliams
Ashton Kutcher Joins Cell-Based
Meat Company to Develop 3D-Bioprinting
https://t.co/F4ytExT8Wz https://t.co/jGnc0W2sHN</t>
  </si>
  <si>
    <t>geneticliteracy
How should cell-based products
be labelled? #labmeat @foodsafetynews
#labmeat https://t.co/hzPYRUq4ks</t>
  </si>
  <si>
    <t xml:space="preserve">foodsafetynews
</t>
  </si>
  <si>
    <t>vsnnj
Ashton Kutcher Joins Cell-Based
Meat Company to Develop 3D-Bioprinting
https://t.co/vZqMGoETTX https://t.co/1td99WxiV6</t>
  </si>
  <si>
    <t>verdantsquare
Ashton Kutcher Joins Cell-Based
Meat Company to Develop 3D-Bioprinting
https://t.co/vZqMGoETTX https://t.co/1td99WxiV6</t>
  </si>
  <si>
    <t>vsnpenn
Ashton Kutcher Joins Cell-Based
Meat Company to Develop 3D-Bioprinting
https://t.co/vZqMGoETTX https://t.co/1td99WxiV6</t>
  </si>
  <si>
    <t>veganinsight
Ashton Kutcher Joins Cell-Based
Meat Company to Develop 3D Bioprinting
https://t.co/0jV4K4KR1O</t>
  </si>
  <si>
    <t>moongin2100
Over 95% In #HongKong Want To Try
#CellBased Meat and Seafood: Study 
https://t.co/qlc90yjxbB https://t.co/ENAQLdzBQr</t>
  </si>
  <si>
    <t>earthaccounting
Over 95% In #HongKong Want To Try
#CellBased Meat and Seafood: Study 
https://t.co/qlc90yjxbB https://t.co/ENAQLdzBQr</t>
  </si>
  <si>
    <t>ings4palin
@pvtjokerus @BerensonsGhost @44MagnumBlue1
@jakecoco @joerogan enjoy your
fake elk jerky https://t.co/MNEereKqfN</t>
  </si>
  <si>
    <t xml:space="preserve">joerogan
</t>
  </si>
  <si>
    <t xml:space="preserve">jakecoco
</t>
  </si>
  <si>
    <t xml:space="preserve">44magnumblue1
</t>
  </si>
  <si>
    <t xml:space="preserve">berensonsghost
</t>
  </si>
  <si>
    <t xml:space="preserve">pvtjokerus
</t>
  </si>
  <si>
    <t>shauncoffey
Check out my latest article: GFI's
attempt to dismiss The Counter
story on cell-based meat. https://t.co/CCqUmYNu3H
via @LinkedIn</t>
  </si>
  <si>
    <t xml:space="preserve">linkedin
</t>
  </si>
  <si>
    <t>paulwood1508
@berkeleyrabe @David_Griso @GHGGuru
Have a read of Joe Fassler's article
in The Counter cell-based meat
at scale is unlikely</t>
  </si>
  <si>
    <t>asimkha02399869
On “Babbage”, with @jonfasman:
- Could lab-grown and plant-based
meat be the future of food? - @GrownUnder
explores the merits of vertical
farming - How cell-cultured seafood
from @BlueNaluInc could replace
traditional fish farming https://t.co/vSPtHDWAoh</t>
  </si>
  <si>
    <t>ksmohamed_sunil
On “Babbage”, with @jonfasman:
- Could lab-grown and plant-based
meat be the future of food? - @GrownUnder
explores the merits of vertical
farming - How cell-cultured seafood
from @BlueNaluInc could replace
traditional fish farming https://t.co/vSPtHDWAoh</t>
  </si>
  <si>
    <t>hana_soul_hack
On “Babbage”, with @jonfasman:
- Could lab-grown and plant-based
meat be the future of food? - @GrownUnder
explores the merits of vertical
farming - How cell-cultured seafood
from @BlueNaluInc could replace
traditional fish farming https://t.co/vSPtHDWAoh</t>
  </si>
  <si>
    <t>travermadondo
On “Babbage”, with @jonfasman:
- Could lab-grown and plant-based
meat be the future of food? - @GrownUnder
explores the merits of vertical
farming - How cell-cultured seafood
from @BlueNaluInc could replace
traditional fish farming https://t.co/vSPtHDWAoh</t>
  </si>
  <si>
    <t>greenassam
Over 95% In #HongKong Want To Try
#CellBased Meat and Seafood: Study 
https://t.co/qlc90yjxbB https://t.co/ENAQLdzBQr</t>
  </si>
  <si>
    <t>georgerowell12
On “Babbage”, with @jonfasman:
- Could lab-grown and plant-based
meat be the future of food? - @GrownUnder
explores the merits of vertical
farming - How cell-cultured seafood
from @BlueNaluInc could replace
traditional fish farming https://t.co/vSPtHDWAoh</t>
  </si>
  <si>
    <t>sadam08499791
On “Babbage”, with @jonfasman:
- Could lab-grown and plant-based
meat be the future of food? - @GrownUnder
explores the merits of vertical
farming - How cell-cultured seafood
from @BlueNaluInc could replace
traditional fish farming https://t.co/vSPtHDWAoh</t>
  </si>
  <si>
    <t>orbitalgardens
On “Babbage”, with @jonfasman:
- Could lab-grown and plant-based
meat be the future of food? - @GrownUnder
explores the merits of vertical
farming - How cell-cultured seafood
from @BlueNaluInc could replace
traditional fish farming https://t.co/vSPtHDWAoh</t>
  </si>
  <si>
    <t>loucoop18
On “Babbage”, with @jonfasman:
- Could lab-grown and plant-based
meat be the future of food? - @GrownUnder
explores the merits of vertical
farming - How cell-cultured seafood
from @BlueNaluInc could replace
traditional fish farming https://t.co/vSPtHDWAoh</t>
  </si>
  <si>
    <t>reginabanali
Ashton Kutcher Joins Cell-Based
Meat Company to Develop 3D Bioprinting
https://t.co/oRTSpQDINQ</t>
  </si>
  <si>
    <t>ale6altrove
If 3D printed meat made without
animals takes off, you might have
@aplusk to thank. #AshtonKutcher
#slaughterfree @MeaTech3D https://t.co/D4Hkw5GiJI</t>
  </si>
  <si>
    <t>meatech3d
If 3D printed meat made without
animals takes off, you might have
@aplusk to thank. #AshtonKutcher
#slaughterfree @MeaTech3D https://t.co/D4Hkw5GiJI</t>
  </si>
  <si>
    <t xml:space="preserve">aplusk
</t>
  </si>
  <si>
    <t>vegnews
Actor @aplusk is a fan (and an
investor), but do you think 3D
bioprinted meat is part of the
solution? #YesorNo @MeaTech3D https://t.co/D4Hkw5GiJI</t>
  </si>
  <si>
    <t>pepe_nature
If 3D printed meat made without
animals takes off, you might have
@aplusk to thank. #AshtonKutcher
#slaughterfree @MeaTech3D https://t.co/D4Hkw5GiJI</t>
  </si>
  <si>
    <t>sdelagrave
On “Babbage”, with @jonfasman:
- Could lab-grown and plant-based
meat be the future of food? - @GrownUnder
explores the merits of vertical
farming - How cell-cultured seafood
from @BlueNaluInc could replace
traditional fish farming https://t.co/k2AeKt6hlz</t>
  </si>
  <si>
    <t>economistpods
On “Babbage”, with @jonfasman:
- Could lab-grown and plant-based
meat be the future of food? - @GrownUnder
explores the merits of vertical
farming - How cell-cultured seafood
from @BlueNaluInc could replace
traditional fish farming https://t.co/3KHDGdPR60</t>
  </si>
  <si>
    <t xml:space="preserve">ghgguru
</t>
  </si>
  <si>
    <t xml:space="preserve">david_griso
</t>
  </si>
  <si>
    <t xml:space="preserve">berkeleyrabe
</t>
  </si>
  <si>
    <t>carlokarl
If 3D printed meat made without
animals takes off, you might have
@aplusk to thank. #AshtonKutcher
#slaughterfree @MeaTech3D https://t.co/D4Hkw5GiJI</t>
  </si>
  <si>
    <t>upcells
In countries abundant in ocean
waters like Japan, Singapore, &amp;amp;
the Philippines, farming a microalgae
culture on the sea surface to make
the essential basal medium in crafting
cell-based meat would make this
endeavor more feasible that could
even make our food security possible.</t>
  </si>
  <si>
    <t>hoycristel
In countries abundant in ocean
waters like Japan, Singapore, &amp;amp;
the Philippines, farming a microalgae
culture on the sea surface to make
the essential basal medium in crafting
cell-based meat would make this
endeavor more feasible that could
even make our food security possible.</t>
  </si>
  <si>
    <t>rtopitsch
Ashton Kutcher Joins Cell-Based
Meat Company to Develop 3D Bioprinting 
https://t.co/zWQfO7Pitk via @VegNews</t>
  </si>
  <si>
    <t>augustakaiserin
Ashton Kutcher Joins Cell-Based
Meat Company to Develop 3D Bioprinting 
https://t.co/zWQfO7Pitk via @VegNews</t>
  </si>
  <si>
    <t>foodtechmatters
Leonardo DiCaprio invests in cell-based
meat company Mosa Meat - Food Matters
Live https://t.co/P0g4BE6q1y Stay
ahead of the game and sign-up to
our newsletters here: https://t.co/8VvMV4lXB0
https://t.co/KthaJSEhKK</t>
  </si>
  <si>
    <t>ttranpham
Ashton Kutcher JOINS CELL-BASED
MEAT COMPANY TO DEVELOP 3D BIOPRINTING? •
https://t.co/oPAroYeeDt • #3Dprinting
• ttranpham@azul3d.com • #additivemanufacturing
https://t.co/zHtDtXpzat</t>
  </si>
  <si>
    <t>koelnmesseinc
We will look forward to seeing
@aplusk and this new Cell-Based
Meat Company at a future @anuga.
https://t.co/J6E8OjWbvZ via @VegNews</t>
  </si>
  <si>
    <t xml:space="preserve">anuga
</t>
  </si>
  <si>
    <t>philliprussopov
We will look forward to seeing
@aplusk and this new Cell-Based
Meat Company at a future @anuga.
https://t.co/J6E8OjWbvZ via @VegNews</t>
  </si>
  <si>
    <t>rabigo369
Lab-Made Dairy Products You’ve
heard of cultured “meat” and Wagyu
steaks grown cell by cell in a
laboratory, but what about other
animal-based foodstuffs? #invention
#newinvention #newinventions #newtech
#futuretech #newtechnology #futuretechnology
https://t.co/UrQy1TlLTl</t>
  </si>
  <si>
    <t>oracleatmushin
Lab-Made Dairy Products You’ve
heard of cultured “meat” and Wagyu
steaks grown cell by cell in a
laboratory, but what about other
animal-based foodstuffs? #invention
#newinvention #newinventions #newtech
#futuretech #newtechnology #futuretechnology
https://t.co/UrQy1TlLTl</t>
  </si>
  <si>
    <t>deduped_economi
On “Babbage”, with @jonfasman:
- Could lab-grown and plant-based
meat be the future of food? - @GrownUnder
explores the merits of vertical
farming - How cell-cultured seafood
from @BlueNaluInc could replace
traditional fish farming https://t.co/WVRwLLHuXm</t>
  </si>
  <si>
    <t>jamescounihan1
On “Babbage”, with @jonfasman:
- Could lab-grown and plant-based
meat be the future of food? - @GrownUnder
explores the merits of vertical
farming - How cell-cultured seafood
from @BlueNaluInc could replace
traditional fish farming https://t.co/WVRwLLHuXm</t>
  </si>
  <si>
    <t>soap0928913
On “Babbage”, with @jonfasman:
- Could lab-grown and plant-based
meat be the future of food? - @GrownUnder
explores the merits of vertical
farming - How cell-cultured seafood
from @BlueNaluInc could replace
traditional fish farming https://t.co/WVRwLLHuXm</t>
  </si>
  <si>
    <t>parvez_offi
On “Babbage”, with @jonfasman:
- Could lab-grown and plant-based
meat be the future of food? - @GrownUnder
explores the merits of vertical
farming - How cell-cultured seafood
from @BlueNaluInc could replace
traditional fish farming https://t.co/WVRwLLHuXm</t>
  </si>
  <si>
    <t>monluz2
On “Babbage”, with @jonfasman:
- Could lab-grown and plant-based
meat be the future of food? - @GrownUnder
explores the merits of vertical
farming - How cell-cultured seafood
from @BlueNaluInc could replace
traditional fish farming https://t.co/WVRwLLHuXm</t>
  </si>
  <si>
    <t>shyshoegazer
On “Babbage”, with @jonfasman:
- Could lab-grown and plant-based
meat be the future of food? - @GrownUnder
explores the merits of vertical
farming - How cell-cultured seafood
from @BlueNaluInc could replace
traditional fish farming https://t.co/WVRwLLHuXm</t>
  </si>
  <si>
    <t>dd_jessica_
On “Babbage”, with @jonfasman:
- Could lab-grown and plant-based
meat be the future of food? - @GrownUnder
explores the merits of vertical
farming - How cell-cultured seafood
from @BlueNaluInc could replace
traditional fish farming https://t.co/WVRwLLHuXm</t>
  </si>
  <si>
    <t>shiokmeats
@soroushjp Link to coverage: https://t.co/LZZB8Q1LxO
) -- More info on the world's first
crab tasting event _xD83E__xDD80_ _xD83D__xDE0B_: https://t.co/Rbfl82NVLF</t>
  </si>
  <si>
    <t xml:space="preserve">soroushjp
</t>
  </si>
  <si>
    <t>kjgheroman
On “Babbage”, with @jonfasman:
- Could lab-grown and plant-based
meat be the future of food? - @GrownUnder
explores the merits of vertical
farming - How cell-cultured seafood
from @BlueNaluInc could replace
traditional fish farming https://t.co/WVRwLLHuXm</t>
  </si>
  <si>
    <t>jfrusci
On “Babbage”, with @jonfasman:
- Could lab-grown and plant-based
meat be the future of food? - @GrownUnder
explores the merits of vertical
farming - How cell-cultured seafood
from @BlueNaluInc could replace
traditional fish farming https://t.co/HzmfmsHqLS
via @EconUS</t>
  </si>
  <si>
    <t>oikos_solutions
On “Babbage”, with @jonfasman:
- Could lab-grown and plant-based
meat be the future of food? - @GrownUnder
explores the merits of vertical
farming - How cell-cultured seafood
from @BlueNaluInc could replace
traditional fish farming https://t.co/HzmfmsHqLS
via @EconUS</t>
  </si>
  <si>
    <t>tigrinyan
On “Babbage”, with @jonfasman:
- Could lab-grown and plant-based
meat be the future of food? - @GrownUnder
explores the merits of vertical
farming - How cell-cultured seafood
from @BlueNaluInc could replace
traditional fish farming https://t.co/WVRwLLHuXm</t>
  </si>
  <si>
    <t>jshpigler
If 3D printed meat made without
animals takes off, you might have
@aplusk to thank. #AshtonKutcher
#slaughterfree @MeaTech3D https://t.co/D4Hkw5GiJI</t>
  </si>
  <si>
    <t>animalsujet
"67% of people in the study said
they were highly likely to try
plant-based meat — for cell-cultured,
the figure was 60%. 59% and 53%
were highly likely to purchase
plant-based and cell-cultured meat
respectively." https://t.co/8TvsZFHId4</t>
  </si>
  <si>
    <t>makers_movement
Ashton Kutcher Group Teams with
Bioprinted Alt Meat Startup MeaTech 
At the forefront of the cultured
meat revolution, MeaTech develops
3D bioprinting technologies to
produce premium industrial animal
cell-based meat cuts as a sustainable
alternative to… https://t.co/bpjGbtNwN2
https://t.co/wh1F97P19q</t>
  </si>
  <si>
    <t>vegansfacts
ASHTON KUTCHER JOINS CELL-BASED
MEAT COMPANY TO DEVELOP 3D BIOPRINTING
#vegan #plantbased #vegano #veganism
https://t.co/eHx09NkQ1d</t>
  </si>
  <si>
    <t>kobergcapital
Our belief is that through more
investment and scientific development
of these products, we stand a better
chance of transitioning current
meat eaters to cell or plant-based
meat, faster. Better meat, better
world.</t>
  </si>
  <si>
    <t xml:space="preserve">pacificoaqua_bc
</t>
  </si>
  <si>
    <t>leongreyco
A moral problem I never thought
of. But then, maybe we just move
to cell based meat. https://t.co/Wrp0kcKsBM
#cellbasedmeat</t>
  </si>
  <si>
    <t>davehansford4
AAT has made a complete end-to-end
platform to produce meat directly
from animal cells and it’s scalable.
Renaissance Farm will 'democratise
access to sustainable food by creating
the future of animal farms' - without
animals! https://t.co/0brmao2FpM</t>
  </si>
  <si>
    <t>skryb
AAT has made a complete end-to-end
platform to produce meat directly
from animal cells and it’s scalable.
Renaissance Farm will 'democratise
access to sustainable food by creating
the future of animal farms' - without
animals! https://t.co/0brmao2FpM</t>
  </si>
  <si>
    <t>sethduma
@xxzxxzxxzzx @TheMorganics @TheScotsman
@philip_ciwf ppl will argue that
it’s against nature, but so is
factory farming. it’s a disruption
of the natural order of life in
every way. i think cell-based meat
has to be the future bc meaters
are never gonna shift to a vegan
diet en masse until it’s already
too late. this could save us.</t>
  </si>
  <si>
    <t xml:space="preserve">philip_ciwf
</t>
  </si>
  <si>
    <t xml:space="preserve">thescotsman
</t>
  </si>
  <si>
    <t xml:space="preserve">themorganics
</t>
  </si>
  <si>
    <t xml:space="preserve">xxzxxzxxzzx
</t>
  </si>
  <si>
    <t>craftmeati
AAT has made a complete end-to-end
platform to produce meat directly
from animal cells and it’s scalable.
Renaissance Farm will 'democratise
access to sustainable food by creating
the future of animal farms' - without
animals! https://t.co/0brmao2FpM</t>
  </si>
  <si>
    <t>helikonc
A section in the latest @TheEconomist
covers the "future of food," covering
cell based meat and citing @eatGOURMEY.
Take a listen to the pdcast version
here: https://t.co/GPI8cID4vw</t>
  </si>
  <si>
    <t xml:space="preserve">eatgourmey
</t>
  </si>
  <si>
    <t>greenqueenhk
Over 95% In Hong Kong Want To Try
Cell-Based Meat and Seafood: Study 
https://t.co/aPbzE9geZP</t>
  </si>
  <si>
    <t>fooding1st
Cell-based antelope: Could cultured
meat unlock Southern Africa’s #nutrition
problems? https://t.co/WUYvIQKnbz
#cellbasedmeat #agriculture #foodtech
#culturedmeat #sustainability</t>
  </si>
  <si>
    <t>protein_report
#Foodtech #startup @CoMogale is
developing solutions to future-proof
#SouthAfrica's #nutrition and #foodsecurity
– including creating #cellbased
#meat from free-roaming antelope
and cattle. Reporting in @FoodIng1st.
https://t.co/71mqaqcAtJ</t>
  </si>
  <si>
    <t xml:space="preserve">comogale
</t>
  </si>
  <si>
    <t>cellagritech
What will the #futureoffood look
like in the UK? Journalist Emiko
Terazono visits two cell-based
meat players in the UK, @hoxtonfarms
and #HigherSteaks to learn how
the companies are working on the
future of food. #cellag #cellbasedmeat
https://t.co/sgz9EyQkJT</t>
  </si>
  <si>
    <t>ryanbethencourt
The future of meat _xD83E__xDD69_ is cell based!
https://t.co/twxCMAExiU</t>
  </si>
  <si>
    <t>stevecjjones
What will the #futureoffood look
like in the UK? Journalist Emiko
Terazono visits two cell-based
meat players in the UK, @hoxtonfarms
and #HigherSteaks to learn how
the companies are working on the
future of food. #cellag #cellbasedmeat
https://t.co/sgz9EyQkJT</t>
  </si>
  <si>
    <t>hoxtonfarms
What will the #futureoffood look
like in the UK? Journalist Emiko
Terazono visits two cell-based
meat players in the UK, @hoxtonfarms
and #HigherSteaks to learn how
the companies are working on the
future of food. #cellag #cellbasedmeat
https://t.co/sgz9EyQkJT</t>
  </si>
  <si>
    <t>midoriecosystem
What will the #futureoffood look
like in the UK? Journalist Emiko
Terazono visits two cell-based
meat players in the UK, @hoxtonfarms
and #HigherSteaks to learn how
the companies are working on the
future of food. #cellag #cellbasedmeat
https://t.co/sgz9EyQkJT</t>
  </si>
  <si>
    <t>rexjeanna
What will the #futureoffood look
like in the UK? Journalist Emiko
Terazono visits two cell-based
meat players in the UK, @hoxtonfarms
and #HigherSteaks to learn how
the companies are working on the
future of food. #cellag #cellbasedmeat
https://t.co/sgz9EyQkJT</t>
  </si>
  <si>
    <t>kzelickson
.@justegg, @NewAgeMeats, @mosa_meat—these
companies are at the forefront
of the #cellbasedmeat industry
(also known as cultivated or cultured
meat). Take a look at my latest
article for 3 reasons why you should
follow this food #innovation. https://t.co/Ziw01rBNOQ</t>
  </si>
  <si>
    <t xml:space="preserve">newagemeats
</t>
  </si>
  <si>
    <t xml:space="preserve">justegg
</t>
  </si>
  <si>
    <t>charlie_runners
This is a great article to paint
the landscape of what's happening
on the ground in India. There are
examples of the revolution in cell-based
meat around the world, with over
55 startups in 19 countries exploring
this production methodology (upcoming
report from @GoodFoodInst)</t>
  </si>
  <si>
    <t>pietersemarc
@efwhitton It is quite different
from cell-based meat. There are
no ‘tissue cells’ involved Casein
is a protein but an essential part
of cheese (all cheeses) Casein
without animals can be made with
fermentation with microbes and
yeast strains If you can do that
efficient you have gold</t>
  </si>
  <si>
    <t xml:space="preserve">efwhitton
</t>
  </si>
  <si>
    <t>sophiajennifer5
If 3D printed meat made without
animals takes off, you might have
@aplusk to thank. #AshtonKutcher
#slaughterfree @MeaTech3D https://t.co/D4Hkw5GiJI</t>
  </si>
  <si>
    <t>sallypwynn
Cell-Cultured Meat Could Hit Grocery
Stores In Next 5 Years, Predicts
Expert - Plant Based News https://t.co/Q4O9f7KcyL</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</si>
  <si>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</si>
  <si>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</si>
  <si>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</si>
  <si>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</si>
  <si>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</si>
  <si>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</si>
  <si>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</si>
  <si>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</si>
  <si>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</si>
  <si>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</si>
  <si>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</si>
  <si>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</si>
  <si>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</si>
  <si>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</si>
  <si>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</si>
  <si>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</si>
  <si>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</si>
  <si>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</si>
  <si>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</si>
  <si>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</si>
  <si>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</si>
  <si>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</si>
  <si>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</si>
  <si>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</si>
  <si>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</si>
  <si>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</si>
  <si>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</si>
  <si>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</si>
  <si>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</si>
  <si>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</si>
  <si>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</si>
  <si>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</si>
  <si>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</si>
  <si>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</si>
  <si>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</si>
  <si>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</si>
  <si>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</si>
  <si>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</si>
  <si>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</si>
  <si>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</si>
  <si>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</si>
  <si>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</si>
  <si>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</si>
  <si>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</si>
  <si>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</si>
  <si>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</si>
  <si>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</si>
  <si>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</si>
  <si>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https://vegnews.com/2021/10/ashton-kutcher-cell-based-meat</t>
  </si>
  <si>
    <t>https://econ.trib.al/B6siniM</t>
  </si>
  <si>
    <t>https://econ.trib.al/UuLdSAj</t>
  </si>
  <si>
    <t>https://econ.trib.al/w1YeE88</t>
  </si>
  <si>
    <t>https://www.economist.com/podcasts/2021/10/05/a-new-anthropocene-diet-the-future-of-food?utm_campaign=editorial-social&amp;utm_medium=social-organic&amp;utm_source=twitter</t>
  </si>
  <si>
    <t>https://vision4thefuture.co/lab-made-dairy-products/</t>
  </si>
  <si>
    <t>https://www.fooddive.com/news/75-of-cell-based-meat-companies-prefer-the-term-cultivated-for-their-pro/607500/</t>
  </si>
  <si>
    <t>https://channels.ft.com/en/foodrevolution/lab-grown-meat-the-future-of-food/?utm_content=buffer9816a&amp;utm_medium=social&amp;utm_source=twitter.com&amp;utm_campaign=buffer</t>
  </si>
  <si>
    <t>https://econ.trib.al/AoNqILv</t>
  </si>
  <si>
    <t>https://econ.trib.al/fJkeRl8</t>
  </si>
  <si>
    <t>Entire Graph Count</t>
  </si>
  <si>
    <t>Top URLs in Tweet in G1</t>
  </si>
  <si>
    <t>https://econ.trib.al/NL8KzOD</t>
  </si>
  <si>
    <t>https://econ.trib.al/6yo11AH</t>
  </si>
  <si>
    <t>https://econ.trib.al/BfqdN5n</t>
  </si>
  <si>
    <t>https://econ.trib.al/hX2OEYl</t>
  </si>
  <si>
    <t>Top URLs in Tweet in G2</t>
  </si>
  <si>
    <t>G1 Count</t>
  </si>
  <si>
    <t>https://plantbasednews.org/lifestyle/food/cell-cultured-meat-could-hit-grocery-stores-in-next-5-years-predicts-expert/</t>
  </si>
  <si>
    <t>https://www.meatpoultry.com/articles/25595-crowding-on-the-cell-based-bandwagon</t>
  </si>
  <si>
    <t>https://www.ecowatch.com/cell-based-food-climate-change-2649951865.html</t>
  </si>
  <si>
    <t>https://facebook.com/170838427821860/posts/373108070928227/?d=n</t>
  </si>
  <si>
    <t>https://www.linkedin.com/slink?code=da6jQa5d</t>
  </si>
  <si>
    <t>https://newrepublic.com/article/163857/lab-meat-marketing-gmo-foods</t>
  </si>
  <si>
    <t>https://www.studyfinds.org/people-experience-pain-eating/</t>
  </si>
  <si>
    <t>https://twitter.com/gregory_chupa/status/1446080921363492868</t>
  </si>
  <si>
    <t>Top URLs in Tweet in G3</t>
  </si>
  <si>
    <t>G2 Count</t>
  </si>
  <si>
    <t>https://www.greenqueen.com.hk/amp/cell-based-meat-economy-boost/</t>
  </si>
  <si>
    <t>https://www.greenqueen.com.hk/animal-alternative-technologies-renaissance-farm-cell-based-meat/?utm_content=bufferec53f&amp;utm_medium=social&amp;utm_source=twitter.com&amp;utm_campaign=buffer</t>
  </si>
  <si>
    <t>https://www.greenqueen.com.hk/hong-kong-cell-based-meat-study/</t>
  </si>
  <si>
    <t>https://www.economist.com/podcasts/2021/10/05/a-new-anthropocene-diet-the-future-of-food</t>
  </si>
  <si>
    <t>https://www.foodingredientsfirst.com/news/cell-based-antelope-could-cultured-meat-unlock-southern-africas-nutrition-problems.html</t>
  </si>
  <si>
    <t>https://techcrunch.com/2021/09/27/new-age-meats-bites-into-25m-for-cultured-meat-product-line-development/?utm_content=buffer97d50&amp;utm_medium=social&amp;utm_source=twitter.com&amp;utm_campaign=buffer</t>
  </si>
  <si>
    <t>https://www.foodingredientsfirst.com/news/cell-based-antelope-could-cultured-meat-unlock-southern-africas-nutrition-problems.html#.YV2so6A7Z2A.twitter</t>
  </si>
  <si>
    <t>https://www.facebook.com/PenangScienceCluster/videos/353356909554610</t>
  </si>
  <si>
    <t>https://www.livekindly.co/singapore-startup-world-first-cultured-crab/</t>
  </si>
  <si>
    <t>https://shiokmeats.com/shiok-meats-showcases-the-worlds-first-ever-cell-based-crab-meat-in-a-private-tasting-event/</t>
  </si>
  <si>
    <t>Top URLs in Tweet in G4</t>
  </si>
  <si>
    <t>G3 Count</t>
  </si>
  <si>
    <t>Top URLs in Tweet in G5</t>
  </si>
  <si>
    <t>G4 Count</t>
  </si>
  <si>
    <t>https://vegconomist.com/cultivated/herotein-partners-with-mission-barns-to-bring-first-hybrid-cultivated-plant-based-meat-products-to-china/</t>
  </si>
  <si>
    <t>https://www.frontiersin.org/articles/10.3389/fsufs.2021.744199/full?utm_source=S-TWT&amp;utm_medium=SNET&amp;utm_campaign=ECO_FSUSTAIN_XXXXXXXX_auto-dlvrit</t>
  </si>
  <si>
    <t>https://gfi.org/blog/cultivated-meat-a-growing-nomenclature-consensus/</t>
  </si>
  <si>
    <t>Top URLs in Tweet in G6</t>
  </si>
  <si>
    <t>G5 Count</t>
  </si>
  <si>
    <t>https://medium.com/futurefood/one-week-in-a-post-18-plant-based-ingredients-you-can-pronounce-celebs-craziness-on-cellular-ag-30e1b1a51a40</t>
  </si>
  <si>
    <t>https://www.linkedin.com/pulse/why-you-should-keep-your-eye-cell-based-meat-kory-zelickson-/</t>
  </si>
  <si>
    <t>Top URLs in Tweet in G7</t>
  </si>
  <si>
    <t>G6 Count</t>
  </si>
  <si>
    <t>Top URLs in Tweet in G8</t>
  </si>
  <si>
    <t>G7 Count</t>
  </si>
  <si>
    <t>https://www.linkedin.com/pulse/gfis-attempt-dismiss-counter-story-cell-based-meat-paul-wood-ao</t>
  </si>
  <si>
    <t>Top URLs in Tweet in G9</t>
  </si>
  <si>
    <t>G8 Count</t>
  </si>
  <si>
    <t>Top URLs in Tweet in G10</t>
  </si>
  <si>
    <t>G9 Count</t>
  </si>
  <si>
    <t>G10 Count</t>
  </si>
  <si>
    <t>Top URLs in Tweet</t>
  </si>
  <si>
    <t>https://econ.trib.al/UuLdSAj https://econ.trib.al/B6siniM https://econ.trib.al/w1YeE88 https://www.economist.com/podcasts/2021/10/05/a-new-anthropocene-diet-the-future-of-food?utm_campaign=editorial-social&amp;utm_medium=social-organic&amp;utm_source=twitter https://econ.trib.al/AoNqILv https://econ.trib.al/NL8KzOD https://econ.trib.al/fJkeRl8 https://econ.trib.al/6yo11AH https://econ.trib.al/BfqdN5n https://econ.trib.al/hX2OEYl</t>
  </si>
  <si>
    <t>https://www.fooddive.com/news/75-of-cell-based-meat-companies-prefer-the-term-cultivated-for-their-pro/607500/ https://vegnews.com/2021/10/ashton-kutcher-cell-based-meat https://plantbasednews.org/lifestyle/food/cell-cultured-meat-could-hit-grocery-stores-in-next-5-years-predicts-expert/ https://www.meatpoultry.com/articles/25595-crowding-on-the-cell-based-bandwagon https://www.ecowatch.com/cell-based-food-climate-change-2649951865.html https://facebook.com/170838427821860/posts/373108070928227/?d=n https://www.linkedin.com/slink?code=da6jQa5d https://newrepublic.com/article/163857/lab-meat-marketing-gmo-foods https://www.studyfinds.org/people-experience-pain-eating/ https://twitter.com/gregory_chupa/status/1446080921363492868</t>
  </si>
  <si>
    <t>https://www.greenqueen.com.hk/amp/cell-based-meat-economy-boost/ https://www.greenqueen.com.hk/animal-alternative-technologies-renaissance-farm-cell-based-meat/?utm_content=bufferec53f&amp;utm_medium=social&amp;utm_source=twitter.com&amp;utm_campaign=buffer https://www.greenqueen.com.hk/hong-kong-cell-based-meat-study/ https://www.economist.com/podcasts/2021/10/05/a-new-anthropocene-diet-the-future-of-food https://www.foodingredientsfirst.com/news/cell-based-antelope-could-cultured-meat-unlock-southern-africas-nutrition-problems.html https://techcrunch.com/2021/09/27/new-age-meats-bites-into-25m-for-cultured-meat-product-line-development/?utm_content=buffer97d50&amp;utm_medium=social&amp;utm_source=twitter.com&amp;utm_campaign=buffer https://www.foodingredientsfirst.com/news/cell-based-antelope-could-cultured-meat-unlock-southern-africas-nutrition-problems.html#.YV2so6A7Z2A.twitter https://www.facebook.com/PenangScienceCluster/videos/353356909554610 https://www.livekindly.co/singapore-startup-world-first-cultured-crab/ https://shiokmeats.com/shiok-meats-showcases-the-worlds-first-ever-cell-based-crab-meat-in-a-private-tasting-event/</t>
  </si>
  <si>
    <t>https://vegconomist.com/cultivated/herotein-partners-with-mission-barns-to-bring-first-hybrid-cultivated-plant-based-meat-products-to-china/ https://www.fooddive.com/news/75-of-cell-based-meat-companies-prefer-the-term-cultivated-for-their-pro/607500/ https://www.frontiersin.org/articles/10.3389/fsufs.2021.744199/full?utm_source=S-TWT&amp;utm_medium=SNET&amp;utm_campaign=ECO_FSUSTAIN_XXXXXXXX_auto-dlvrit https://gfi.org/blog/cultivated-meat-a-growing-nomenclature-consensus/</t>
  </si>
  <si>
    <t>https://medium.com/futurefood/one-week-in-a-post-18-plant-based-ingredients-you-can-pronounce-celebs-craziness-on-cellular-ag-30e1b1a51a40 https://www.linkedin.com/pulse/why-you-should-keep-your-eye-cell-based-meat-kory-zelickson-/</t>
  </si>
  <si>
    <t>https://channels.ft.com/en/foodrevolution/lab-grown-meat-the-future-of-food/?utm_content=buffer9816a&amp;utm_medium=social&amp;utm_source=twitter.com&amp;utm_campaign=buffer https://techcrunch.com/2021/09/27/new-age-meats-bites-into-25m-for-cultured-meat-product-line-development/?utm_content=buffer97d50&amp;utm_medium=social&amp;utm_source=twitter.com&amp;utm_campaign=buffer</t>
  </si>
  <si>
    <t>https://www.greenqueen.com.hk/hong-kong-cell-based-meat-study/?ct=t%28OCT+8+2020+INDUSTRY+SCOOP_COPY_01%29</t>
  </si>
  <si>
    <t>https://vegnews.com/2021/10/ashton-kutcher-cell-based-meat?utm_source=dlvr.it&amp;utm_medium=twitter</t>
  </si>
  <si>
    <t>https://plantbasednews.org/news/australian-company-create-cell-based-meat-from-exotic-animals/ https://www.csiro.au/en/work-with-us/funding-programs/programs/Innovate-to-Grow/Agrifood https://plantbasednews.org/lifestyle/60-meat-2040-vegan-cultured-not-dead-animals/ https://plantbasednews.org/lifestyle/food/cell-cultured-meat-could-hit-grocery-stores-in-next-5-years-predicts-expert/ https://www.farmonline.com.au/story/7458243/new-leaders-at-harvest-road/?cs=5374</t>
  </si>
  <si>
    <t>https://engrxiv.org/795su</t>
  </si>
  <si>
    <t>https://geneticliteracyproject.org/2021/10/08/should-lab-grown-beef-be-labeled-meat-usda-denies-cattle-lobby-petition-to-limit-definition-to-animal-sources/?utm_medium=Social&amp;utm_source=Twitter#Echobox=1633672368-1</t>
  </si>
  <si>
    <t>https://www.foodpolitics.com/2021/09/meat-alternatives-cell-based/</t>
  </si>
  <si>
    <t>https://www.fooddive.com/news/75-of-cell-based-meat-companies-prefer-the-term-cultivated-for-their-pro/607500/?utm_content=182314502&amp;utm_medium=social&amp;utm_source=twitter&amp;hss_channel=tw-718104481951522818</t>
  </si>
  <si>
    <t>https://www.supermarketperimeter.com/articles/7225-cell-based-meat-start-ups-on-the-rise-while-regulatory-approval-remains-iffy</t>
  </si>
  <si>
    <t>https://www.theguardian.com/environment/2020/dec/02/no-kill-lab-grown-meat-to-go-on-sale-for-first-time</t>
  </si>
  <si>
    <t>https://www.motherjones.com/food/2021/08/is-lab-meat-about-to-hit-your-dinner-plate/</t>
  </si>
  <si>
    <t>Top Domains in Tweet in Entire Graph</t>
  </si>
  <si>
    <t>Top Domains in Tweet in G1</t>
  </si>
  <si>
    <t>Top Domains in Tweet in G2</t>
  </si>
  <si>
    <t>Top Domains in Tweet in G3</t>
  </si>
  <si>
    <t>livekindly.co</t>
  </si>
  <si>
    <t>shiokmeats.com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</si>
  <si>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</si>
  <si>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</si>
  <si>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</si>
  <si>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</si>
  <si>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</si>
  <si>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</si>
  <si>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</si>
  <si>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</si>
  <si>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economist.com</t>
  </si>
  <si>
    <t>linkedin.com vegnews.com fooddive.com newrepublic.com plantbasednews.org meatpoultry.com ecowatch.com facebook.com studyfinds.org twitter.com</t>
  </si>
  <si>
    <t>com.hk foodingredientsfirst.com economist.com techcrunch.com facebook.com livekindly.co shiokmeats.com</t>
  </si>
  <si>
    <t>vegconomist.com fooddive.com frontiersin.org gfi.org</t>
  </si>
  <si>
    <t>medium.com linkedin.com</t>
  </si>
  <si>
    <t>ft.com techcrunch.com</t>
  </si>
  <si>
    <t>plantbasednews.org csiro.au com.au</t>
  </si>
  <si>
    <t>Top Hashtags in Tweet in Entire Graph</t>
  </si>
  <si>
    <t>futureoffood</t>
  </si>
  <si>
    <t>ashtonkutcher</t>
  </si>
  <si>
    <t>slaughterfree</t>
  </si>
  <si>
    <t>cellag</t>
  </si>
  <si>
    <t>cellbased</t>
  </si>
  <si>
    <t>invention</t>
  </si>
  <si>
    <t>newinvention</t>
  </si>
  <si>
    <t>newinventions</t>
  </si>
  <si>
    <t>newtech</t>
  </si>
  <si>
    <t>Top Hashtags in Tweet in G1</t>
  </si>
  <si>
    <t>Top Hashtags in Tweet in G2</t>
  </si>
  <si>
    <t>greenative</t>
  </si>
  <si>
    <t>plantbasedmeat</t>
  </si>
  <si>
    <t>xprize</t>
  </si>
  <si>
    <t>additivemanufacturing</t>
  </si>
  <si>
    <t>vegan</t>
  </si>
  <si>
    <t>plantbased</t>
  </si>
  <si>
    <t>vegano</t>
  </si>
  <si>
    <t>Top Hashtags in Tweet in G3</t>
  </si>
  <si>
    <t>foodtech</t>
  </si>
  <si>
    <t>nutrition</t>
  </si>
  <si>
    <t>startup</t>
  </si>
  <si>
    <t>southafrica</t>
  </si>
  <si>
    <t>foodsecurity</t>
  </si>
  <si>
    <t>meat</t>
  </si>
  <si>
    <t>Top Hashtags in Tweet in G4</t>
  </si>
  <si>
    <t>Top Hashtags in Tweet in G5</t>
  </si>
  <si>
    <t>Top Hashtags in Tweet in G6</t>
  </si>
  <si>
    <t>innovation</t>
  </si>
  <si>
    <t>Top Hashtags in Tweet in G7</t>
  </si>
  <si>
    <t>futuretech</t>
  </si>
  <si>
    <t>newtechnology</t>
  </si>
  <si>
    <t>futuretechnology</t>
  </si>
  <si>
    <t>Top Hashtags in Tweet in G8</t>
  </si>
  <si>
    <t>Top Hashtags in Tweet in G9</t>
  </si>
  <si>
    <t>Top Hashtags in Tweet in G10</t>
  </si>
  <si>
    <t>highersteaks</t>
  </si>
  <si>
    <t>Top Hashtags in Tweet</t>
  </si>
  <si>
    <t>cellbasedmeat 3dprinting greenative plantbasedmeat xprize comogale additivemanufacturing vegan plantbased vegano</t>
  </si>
  <si>
    <t>mytwitteranniversary cultivatedmeat foodtech nutrition cellbasedmeat startup southafrica foodsecurity cellbased meat</t>
  </si>
  <si>
    <t>ashtonkutcher slaughterfree yesorno</t>
  </si>
  <si>
    <t>futureoffood cellag cellbasedmeat highersteaks</t>
  </si>
  <si>
    <t>labmeat</t>
  </si>
  <si>
    <t>Top Words in Tweet in Entire Graph</t>
  </si>
  <si>
    <t>cell</t>
  </si>
  <si>
    <t>based</t>
  </si>
  <si>
    <t>farming</t>
  </si>
  <si>
    <t>cultured</t>
  </si>
  <si>
    <t>future</t>
  </si>
  <si>
    <t>food</t>
  </si>
  <si>
    <t>plant</t>
  </si>
  <si>
    <t>lab</t>
  </si>
  <si>
    <t>grown</t>
  </si>
  <si>
    <t>Top Words in Tweet in G1</t>
  </si>
  <si>
    <t>babbage</t>
  </si>
  <si>
    <t>Top Words in Tweet in G2</t>
  </si>
  <si>
    <t>ashton</t>
  </si>
  <si>
    <t>kutcher</t>
  </si>
  <si>
    <t>company</t>
  </si>
  <si>
    <t>3d</t>
  </si>
  <si>
    <t>bioprinting</t>
  </si>
  <si>
    <t>joins</t>
  </si>
  <si>
    <t>develop</t>
  </si>
  <si>
    <t>Top Words in Tweet in G3</t>
  </si>
  <si>
    <t>s</t>
  </si>
  <si>
    <t>end</t>
  </si>
  <si>
    <t>agree</t>
  </si>
  <si>
    <t>uk</t>
  </si>
  <si>
    <t>animal</t>
  </si>
  <si>
    <t>Top Words in Tweet in G4</t>
  </si>
  <si>
    <t>printed</t>
  </si>
  <si>
    <t>made</t>
  </si>
  <si>
    <t>without</t>
  </si>
  <si>
    <t>animals</t>
  </si>
  <si>
    <t>takes</t>
  </si>
  <si>
    <t>thank</t>
  </si>
  <si>
    <t>Top Words in Tweet in G5</t>
  </si>
  <si>
    <t>cultivated</t>
  </si>
  <si>
    <t>fat</t>
  </si>
  <si>
    <t>w</t>
  </si>
  <si>
    <t>herotein</t>
  </si>
  <si>
    <t>Top Words in Tweet in G6</t>
  </si>
  <si>
    <t>celebrities</t>
  </si>
  <si>
    <t>more</t>
  </si>
  <si>
    <t>major</t>
  </si>
  <si>
    <t>influencers</t>
  </si>
  <si>
    <t>seeing</t>
  </si>
  <si>
    <t>investing</t>
  </si>
  <si>
    <t>upcoming</t>
  </si>
  <si>
    <t>brands</t>
  </si>
  <si>
    <t>Top Words in Tweet in G7</t>
  </si>
  <si>
    <t>dairy</t>
  </si>
  <si>
    <t>products</t>
  </si>
  <si>
    <t>ve</t>
  </si>
  <si>
    <t>heard</t>
  </si>
  <si>
    <t>wagyu</t>
  </si>
  <si>
    <t>Top Words in Tweet in G8</t>
  </si>
  <si>
    <t>article</t>
  </si>
  <si>
    <t>counter</t>
  </si>
  <si>
    <t>check</t>
  </si>
  <si>
    <t>out</t>
  </si>
  <si>
    <t>latest</t>
  </si>
  <si>
    <t>gfi's</t>
  </si>
  <si>
    <t>attempt</t>
  </si>
  <si>
    <t>Top Words in Tweet in G9</t>
  </si>
  <si>
    <t>Top Words in Tweet in G10</t>
  </si>
  <si>
    <t>#futureoffood</t>
  </si>
  <si>
    <t>#cellag</t>
  </si>
  <si>
    <t>#cellbasedmeat</t>
  </si>
  <si>
    <t>look</t>
  </si>
  <si>
    <t>journalist</t>
  </si>
  <si>
    <t>emiko</t>
  </si>
  <si>
    <t>terazono</t>
  </si>
  <si>
    <t>Top Words in Tweet</t>
  </si>
  <si>
    <t>farming babbage jonfasman lab grown plant based meat future food</t>
  </si>
  <si>
    <t>meat cell based ashton kutcher company 3d bioprinting joins develop</t>
  </si>
  <si>
    <t>meat s cell based end agree future uk animal cultured</t>
  </si>
  <si>
    <t>meat 3d aplusk meatech3d printed made without animals takes thank</t>
  </si>
  <si>
    <t>meat based cultivated cell plant fat goodfoodinst w herotein missionbarns</t>
  </si>
  <si>
    <t>celebrities more mosa_meat meat major influencers seeing investing upcoming brands</t>
  </si>
  <si>
    <t>cell lab made dairy products ve heard cultured meat wagyu</t>
  </si>
  <si>
    <t>article counter cell based meat check out latest gfi's attempt</t>
  </si>
  <si>
    <t>uk #futureoffood cell based #cellag #cellbasedmeat look journalist emiko terazono</t>
  </si>
  <si>
    <t>over 95 #hongkong want try #cellbased meat seafood study</t>
  </si>
  <si>
    <t>ashton kutcher joins cell based meat company develop 3d bioprinting</t>
  </si>
  <si>
    <t>meat cell based australian company create 'exotic' animals kangaroo lion</t>
  </si>
  <si>
    <t>pessimistic 'techno economic analysis' arguing cell based agriculture faces lot</t>
  </si>
  <si>
    <t>meat cultured based momentum new report oupeconomics unveiled cell make</t>
  </si>
  <si>
    <t>casein</t>
  </si>
  <si>
    <t>cell make meat based countries abundant ocean waters japan singapore</t>
  </si>
  <si>
    <t>#labmeat</t>
  </si>
  <si>
    <t>cell based #foodpoll prefer meat called 1 cultivated 2 cultured</t>
  </si>
  <si>
    <t>sounds</t>
  </si>
  <si>
    <t>think cell based meat</t>
  </si>
  <si>
    <t>meat based</t>
  </si>
  <si>
    <t>meat alternatives cell based</t>
  </si>
  <si>
    <t>based production line serum</t>
  </si>
  <si>
    <t>chicken</t>
  </si>
  <si>
    <t>Top Word Pairs in Tweet in Entire Graph</t>
  </si>
  <si>
    <t>based,meat</t>
  </si>
  <si>
    <t>cell,based</t>
  </si>
  <si>
    <t>plant,based</t>
  </si>
  <si>
    <t>future,food</t>
  </si>
  <si>
    <t>cell,cultured</t>
  </si>
  <si>
    <t>meat,future</t>
  </si>
  <si>
    <t>lab,grown</t>
  </si>
  <si>
    <t>babbage,jonfasman</t>
  </si>
  <si>
    <t>jonfasman,lab</t>
  </si>
  <si>
    <t>grown,plant</t>
  </si>
  <si>
    <t>Top Word Pairs in Tweet in G1</t>
  </si>
  <si>
    <t>food,grownunder</t>
  </si>
  <si>
    <t>grownunder,explores</t>
  </si>
  <si>
    <t>Top Word Pairs in Tweet in G2</t>
  </si>
  <si>
    <t>ashton,kutcher</t>
  </si>
  <si>
    <t>meat,company</t>
  </si>
  <si>
    <t>3d,bioprinting</t>
  </si>
  <si>
    <t>kutcher,joins</t>
  </si>
  <si>
    <t>joins,cell</t>
  </si>
  <si>
    <t>company,develop</t>
  </si>
  <si>
    <t>develop,3d</t>
  </si>
  <si>
    <t>Top Word Pairs in Tweet in G3</t>
  </si>
  <si>
    <t>5,yrs</t>
  </si>
  <si>
    <t>yrs,ago</t>
  </si>
  <si>
    <t>ago,launched</t>
  </si>
  <si>
    <t>launched,filmmaking</t>
  </si>
  <si>
    <t>filmmaking,journey</t>
  </si>
  <si>
    <t>journey,chronicle</t>
  </si>
  <si>
    <t>chronicle,birth</t>
  </si>
  <si>
    <t>birth,clean</t>
  </si>
  <si>
    <t>clean,cultured</t>
  </si>
  <si>
    <t>Top Word Pairs in Tweet in G4</t>
  </si>
  <si>
    <t>3d,printed</t>
  </si>
  <si>
    <t>printed,meat</t>
  </si>
  <si>
    <t>meat,made</t>
  </si>
  <si>
    <t>made,without</t>
  </si>
  <si>
    <t>without,animals</t>
  </si>
  <si>
    <t>animals,takes</t>
  </si>
  <si>
    <t>takes,aplusk</t>
  </si>
  <si>
    <t>aplusk,thank</t>
  </si>
  <si>
    <t>thank,#ashtonkutcher</t>
  </si>
  <si>
    <t>#ashtonkutcher,#slaughterfree</t>
  </si>
  <si>
    <t>Top Word Pairs in Tweet in G5</t>
  </si>
  <si>
    <t>cultivated,meat</t>
  </si>
  <si>
    <t>hybrid,cultivated</t>
  </si>
  <si>
    <t>meat,products</t>
  </si>
  <si>
    <t>matter,fat</t>
  </si>
  <si>
    <t>fat,big</t>
  </si>
  <si>
    <t>big,deal</t>
  </si>
  <si>
    <t>deal,chinese</t>
  </si>
  <si>
    <t>Top Word Pairs in Tweet in G6</t>
  </si>
  <si>
    <t>celebrities,major</t>
  </si>
  <si>
    <t>major,influencers</t>
  </si>
  <si>
    <t>influencers,seeing</t>
  </si>
  <si>
    <t>seeing,more</t>
  </si>
  <si>
    <t>more,more</t>
  </si>
  <si>
    <t>more,celebrities</t>
  </si>
  <si>
    <t>celebrities,investing</t>
  </si>
  <si>
    <t>investing,upcoming</t>
  </si>
  <si>
    <t>upcoming,brands</t>
  </si>
  <si>
    <t>brands,recently</t>
  </si>
  <si>
    <t>Top Word Pairs in Tweet in G7</t>
  </si>
  <si>
    <t>lab,made</t>
  </si>
  <si>
    <t>made,dairy</t>
  </si>
  <si>
    <t>dairy,products</t>
  </si>
  <si>
    <t>products,ve</t>
  </si>
  <si>
    <t>ve,heard</t>
  </si>
  <si>
    <t>heard,cultured</t>
  </si>
  <si>
    <t>cultured,meat</t>
  </si>
  <si>
    <t>meat,wagyu</t>
  </si>
  <si>
    <t>wagyu,steaks</t>
  </si>
  <si>
    <t>steaks,grown</t>
  </si>
  <si>
    <t>Top Word Pairs in Tweet in G8</t>
  </si>
  <si>
    <t>check,out</t>
  </si>
  <si>
    <t>out,latest</t>
  </si>
  <si>
    <t>latest,article</t>
  </si>
  <si>
    <t>article,gfi's</t>
  </si>
  <si>
    <t>gfi's,attempt</t>
  </si>
  <si>
    <t>attempt,dismiss</t>
  </si>
  <si>
    <t>dismiss,counter</t>
  </si>
  <si>
    <t>counter,story</t>
  </si>
  <si>
    <t>Top Word Pairs in Tweet in G9</t>
  </si>
  <si>
    <t>Top Word Pairs in Tweet in G10</t>
  </si>
  <si>
    <t>#futureoffood,look</t>
  </si>
  <si>
    <t>look,uk</t>
  </si>
  <si>
    <t>uk,journalist</t>
  </si>
  <si>
    <t>journalist,emiko</t>
  </si>
  <si>
    <t>emiko,terazono</t>
  </si>
  <si>
    <t>terazono,visits</t>
  </si>
  <si>
    <t>visits,two</t>
  </si>
  <si>
    <t>two,cell</t>
  </si>
  <si>
    <t>Top Word Pairs in Tweet</t>
  </si>
  <si>
    <t>babbage,jonfasman  jonfasman,lab  lab,grown  grown,plant  plant,based  based,meat  meat,future  future,food  food,grownunder  grownunder,explores</t>
  </si>
  <si>
    <t>cell,based  based,meat  ashton,kutcher  meat,company  3d,bioprinting  kutcher,joins  joins,cell  company,develop  develop,3d  plant,based</t>
  </si>
  <si>
    <t>cell,based  5,yrs  yrs,ago  ago,launched  launched,filmmaking  filmmaking,journey  journey,chronicle  chronicle,birth  birth,clean  clean,cultured</t>
  </si>
  <si>
    <t>3d,printed  printed,meat  meat,made  made,without  without,animals  animals,takes  takes,aplusk  aplusk,thank  thank,#ashtonkutcher  #ashtonkutcher,#slaughterfree</t>
  </si>
  <si>
    <t>plant,based  based,meat  cultivated,meat  cell,based  hybrid,cultivated  meat,products  matter,fat  fat,big  big,deal  deal,chinese</t>
  </si>
  <si>
    <t>celebrities,major  major,influencers  influencers,seeing  seeing,more  more,more  more,celebrities  celebrities,investing  investing,upcoming  upcoming,brands  brands,recently</t>
  </si>
  <si>
    <t>lab,made  made,dairy  dairy,products  products,ve  ve,heard  heard,cultured  cultured,meat  meat,wagyu  wagyu,steaks  steaks,grown</t>
  </si>
  <si>
    <t>cell,based  based,meat  check,out  out,latest  latest,article  article,gfi's  gfi's,attempt  attempt,dismiss  dismiss,counter  counter,story</t>
  </si>
  <si>
    <t>cell,based  #futureoffood,look  look,uk  uk,journalist  journalist,emiko  emiko,terazono  terazono,visits  visits,two  two,cell  based,meat</t>
  </si>
  <si>
    <t>over,95  95,#hongkong  #hongkong,want  want,try  try,#cellbased  #cellbased,meat  meat,seafood  seafood,study</t>
  </si>
  <si>
    <t>ashton,kutcher  kutcher,joins  joins,cell  cell,based  based,meat  meat,company  company,develop  develop,3d  3d,bioprinting</t>
  </si>
  <si>
    <t>cell,based  based,meat  australian,company  company,create  create,cell  meat,'exotic'  'exotic',animals  animals,kangaroo  kangaroo,lion  new,leaders</t>
  </si>
  <si>
    <t>pessimistic,'techno  'techno,economic  economic,analysis'  analysis',arguing  arguing,cell  cell,based  based,agriculture  agriculture,faces  faces,lot  lot,difficult</t>
  </si>
  <si>
    <t>cultured,meat  based,meat  momentum,cultured  meat,new  new,report  report,oupeconomics  oupeconomics,unveiled  unveiled,cell  cell,based  meat,make</t>
  </si>
  <si>
    <t>cell,based  based,meat  countries,abundant  abundant,ocean  ocean,waters  waters,japan  japan,singapore  singapore,philippines  philippines,farming  farming,microalgae</t>
  </si>
  <si>
    <t>cell,based  #foodpoll,prefer  prefer,cell  based,meat  meat,called  called,1  1,cultivated  cultivated,2  2,cultured  cultured,3</t>
  </si>
  <si>
    <t>think,cell  cell,based  based,meat</t>
  </si>
  <si>
    <t>meat,alternatives  alternatives,cell  cell,based</t>
  </si>
  <si>
    <t>production,line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</si>
  <si>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</si>
  <si>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</si>
  <si>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</si>
  <si>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</si>
  <si>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</si>
  <si>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</si>
  <si>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</si>
  <si>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</si>
  <si>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</si>
  <si>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</si>
  <si>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</si>
  <si>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</si>
  <si>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</si>
  <si>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</si>
  <si>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</si>
  <si>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</si>
  <si>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</si>
  <si>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</si>
  <si>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</si>
  <si>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</si>
  <si>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</si>
  <si>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</si>
  <si>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</si>
  <si>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</si>
  <si>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jonfasman grownunder bluenaluinc econus pacificoaqua_bc</t>
  </si>
  <si>
    <t>umavaleti upsidefoods theeconomist eatgourmey greenqueenhk comogale fooding1st</t>
  </si>
  <si>
    <t>aplusk meatech3d vegnews anuga</t>
  </si>
  <si>
    <t>goodfoodinst missionbarns vegconomist</t>
  </si>
  <si>
    <t>mosa_meat leodicaprio alephfarms clairececchini justegg newagemeats</t>
  </si>
  <si>
    <t>linkedin david_griso ghgguru</t>
  </si>
  <si>
    <t>berensonsghost 44magnumblue1 jakecoco joerogan</t>
  </si>
  <si>
    <t>themorganics thescotsman philip_ciwf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</si>
  <si>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</si>
  <si>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</si>
  <si>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</si>
  <si>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</si>
  <si>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</si>
  <si>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</si>
  <si>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</si>
  <si>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</si>
  <si>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</si>
  <si>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</si>
  <si>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</si>
  <si>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</si>
  <si>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world_news_eng theeconomist kjgheroman hakangunery_ deduped_economi jfrusci jamescounihan1 sdelagrave tigrinyan ezeonufo</t>
  </si>
  <si>
    <t>3dprintmaven positiveradio makers_movement gregory_chupa ryanbethencourt reginabanali veganinsight meatpoultry ttranpham joshuamarch</t>
  </si>
  <si>
    <t>ra_mc craftmeati skryb fooding1st greenqueenhk protein_report upsidefoods davehansford4 lizmarsfilm profjbmatthews</t>
  </si>
  <si>
    <t>carlokarl ale6altrove pepe_nature augustakaiserin vegnews rtopitsch aplusk sophiajennifer5 philliprussopov jshpigler</t>
  </si>
  <si>
    <t>goodfoodinst foodpreneurscom joyancepartners meganpoinski welllibrarian charlie_runners vegconomist missionbarns</t>
  </si>
  <si>
    <t>ffoodinstitute justegg leodicaprio clairececchini alephfarms newagemeats mosa_meat kzelickson</t>
  </si>
  <si>
    <t>whatisayisnt ironstar95 sirlambomoon oracleatmushin vision4future1 rabigo369</t>
  </si>
  <si>
    <t>shauncoffey linkedin ghgguru david_griso berkeleyrabe paulwood1508</t>
  </si>
  <si>
    <t>pvtjokerus ings4palin joerogan jakecoco 44magnumblue1 berensonsghost</t>
  </si>
  <si>
    <t>stevecjjones cellagritech rexjeanna midoriecosystem hoxtonfarms</t>
  </si>
  <si>
    <t>thescotsman themorganics philip_ciwf xxzxxzxxzzx sethduma</t>
  </si>
  <si>
    <t>earthaccounting moongin2100 greenassam</t>
  </si>
  <si>
    <t>vsnpenn verdantsquare vsnnj</t>
  </si>
  <si>
    <t>jungian_soul ozzyconda andrew41544161</t>
  </si>
  <si>
    <t>80000hours robertwiblin simonfriederich</t>
  </si>
  <si>
    <t>jeremyszafron oupeconomics plantfinance</t>
  </si>
  <si>
    <t>pietersemarc efwhitton</t>
  </si>
  <si>
    <t>hoycristel upcells</t>
  </si>
  <si>
    <t>geneticliteracy foodsafetynews</t>
  </si>
  <si>
    <t>culinarycultur1 sial_america</t>
  </si>
  <si>
    <t>avf_scooby2000 jacyanthis</t>
  </si>
  <si>
    <t>audreyeseybold jantjieskyle</t>
  </si>
  <si>
    <t>steve_ia_hill chuckgrassley</t>
  </si>
  <si>
    <t>marionnestle jessica_raneri</t>
  </si>
  <si>
    <t>fooddive blacksmithapps</t>
  </si>
  <si>
    <t>luxresearch smperimeter</t>
  </si>
  <si>
    <t>barbkiser chill_purr</t>
  </si>
  <si>
    <t>michelersimon freewheal</t>
  </si>
  <si>
    <t>Top URLs in Tweet by Count</t>
  </si>
  <si>
    <t>https://newrepublic.com/article/163857/lab-meat-marketing-gmo-foods https://www.studyfinds.org/people-experience-pain-eating/</t>
  </si>
  <si>
    <t>https://econ.trib.al/6yo11AH https://econ.trib.al/fJkeRl8 https://econ.trib.al/hX2OEYl https://econ.trib.al/AoNqILv https://econ.trib.al/NL8KzOD https://econ.trib.al/BfqdN5n</t>
  </si>
  <si>
    <t>https://econ.trib.al/w1YeE88 https://econ.trib.al/B6siniM https://econ.trib.al/UuLdSAj</t>
  </si>
  <si>
    <t>https://plantbasednews.org/news/australian-company-create-cell-based-meat-from-exotic-animals/</t>
  </si>
  <si>
    <t>https://www.farmonline.com.au/story/7458243/new-leaders-at-harvest-road/?cs=5374 https://plantbasednews.org/lifestyle/food/cell-cultured-meat-could-hit-grocery-stores-in-next-5-years-predicts-expert/ https://plantbasednews.org/lifestyle/60-meat-2040-vegan-cultured-not-dead-animals/ https://plantbasednews.org/news/australian-company-create-cell-based-meat-from-exotic-animals/ https://www.csiro.au/en/work-with-us/funding-programs/programs/Innovate-to-Grow/Agrifood</t>
  </si>
  <si>
    <t>https://newrepublic.com/article/163857/lab-meat-marketing-gmo-foods?utm_source=newsletter&amp;utm_medium=email&amp;utm_campaign=tnr_daily</t>
  </si>
  <si>
    <t>https://www.vegan-insight.com/ashton-kutcher-joins-cell-based-meat-company-to-develop-3d-bioprinting/</t>
  </si>
  <si>
    <t>https://econ.trib.al/B6siniM https://econ.trib.al/UuLdSAj</t>
  </si>
  <si>
    <t>https://vegnews.com/2021/10/ashton-kutcher-cell-based-meat?utm_campaign=meetedgar&amp;utm_medium=social&amp;utm_source=meetedgar.com</t>
  </si>
  <si>
    <t>https://www.greenqueen.com.hk/hong-kong-cell-based-meat-study/ https://www.livekindly.co/singapore-startup-world-first-cultured-crab/ https://shiokmeats.com/shiok-meats-showcases-the-worlds-first-ever-cell-based-crab-meat-in-a-private-tasting-event/ https://www.facebook.com/PenangScienceCluster/videos/353356909554610</t>
  </si>
  <si>
    <t>https://econ.trib.al/w1YeE88 https://econ.trib.al/UuLdSAj</t>
  </si>
  <si>
    <t>https://econ.trib.al/fJkeRl8 https://econ.trib.al/AoNqILv https://econ.trib.al/6yo11AH https://econ.trib.al/w1YeE88 https://econ.trib.al/B6siniM https://www.economist.com/podcasts/2021/10/05/a-new-anthropocene-diet-the-future-of-food?utm_campaign=editorial-social&amp;utm_medium=social-organic&amp;utm_source=twitter https://econ.trib.al/NL8KzOD</t>
  </si>
  <si>
    <t>https://vegconomist.com/studies-and-numbers/study-finds-over-half-of-south-africans-are-highly-likely-to-buy-alt-meat-products/</t>
  </si>
  <si>
    <t>https://3dprint.com/285770/ashton-kutcher-group-teams-with-bioprinted-alt-meat-startup-meatech/</t>
  </si>
  <si>
    <t>https://www.wired.co.uk/article/meat-carbon-footprint-animals</t>
  </si>
  <si>
    <t>https://techcrunch.com/2021/09/27/new-age-meats-bites-into-25m-for-cultured-meat-product-line-development/?utm_content=buffer97d50&amp;utm_medium=social&amp;utm_source=twitter.com&amp;utm_campaign=buffer https://www.foodingredientsfirst.com/news/cell-based-antelope-could-cultured-meat-unlock-southern-africas-nutrition-problems.html https://www.greenqueen.com.hk/hong-kong-cell-based-meat-study/ https://www.economist.com/podcasts/2021/10/05/a-new-anthropocene-diet-the-future-of-food https://www.greenqueen.com.hk/animal-alternative-technologies-renaissance-farm-cell-based-meat/?utm_content=bufferec53f&amp;utm_medium=social&amp;utm_source=twitter.com&amp;utm_campaign=buffer https://www.greenqueen.com.hk/amp/cell-based-meat-economy-boost/</t>
  </si>
  <si>
    <t>https://financialpost.com/commodities/agriculture/126-hamburger-a-bit-steep-vancouver-venture-capitalist-joins-race-to-bring-lab-meats-to-your-table/wcm/605223e1-8ec3-4479-9950-8da527e4da0e/amp/</t>
  </si>
  <si>
    <t>Top URLs in Tweet by Salience</t>
  </si>
  <si>
    <t>Top Domains in Tweet by Count</t>
  </si>
  <si>
    <t>newrepublic.com studyfinds.org</t>
  </si>
  <si>
    <t>plantbasednews.org com.au csiro.au</t>
  </si>
  <si>
    <t>com.hk livekindly.co shiokmeats.com facebook.com</t>
  </si>
  <si>
    <t>com.hk techcrunch.com foodingredientsfirst.com economist.com</t>
  </si>
  <si>
    <t>Top Domains in Tweet by Salience</t>
  </si>
  <si>
    <t>com.au csiro.au plantbasednews.org</t>
  </si>
  <si>
    <t>economist.com trib.al</t>
  </si>
  <si>
    <t>Top Hashtags in Tweet by Count</t>
  </si>
  <si>
    <t>yesorno ashtonkutcher slaughterfree</t>
  </si>
  <si>
    <t>cellbasedmeat cellag futureoffood foodtech startup southafrica nutrition foodsecurity cellbased meat</t>
  </si>
  <si>
    <t>Top Hashtags in Tweet by Salience</t>
  </si>
  <si>
    <t>highersteaks futureoffood cellag cellbasedmeat</t>
  </si>
  <si>
    <t>Top Words in Tweet by Count</t>
  </si>
  <si>
    <t>cell cultured hit grocery stores next 5 years predicts expert</t>
  </si>
  <si>
    <t>cultured based momentum new report oupeconomics unveiled cell make up</t>
  </si>
  <si>
    <t>chicken freewheal know mung bean added biotech aka cell based</t>
  </si>
  <si>
    <t>term cultivated seems popular nomenclature nowadays compared terms such cultured</t>
  </si>
  <si>
    <t>fat based cultivated matter big deal chinese startup herotein formerly</t>
  </si>
  <si>
    <t>75 companies making cells cultivated preferred term product according poll</t>
  </si>
  <si>
    <t>daily startups serious cell based production challenges lie ahead</t>
  </si>
  <si>
    <t>enjoy seafood save planet sort absolutely nothing wrong whole foods</t>
  </si>
  <si>
    <t>finally cultivated industry starting come together around label 'cultivated' historically</t>
  </si>
  <si>
    <t>based production line serum barbkiser aware cell sold supermarkets time</t>
  </si>
  <si>
    <t>#cellbased #meatinfustry industry still faces major challenge regulatory approval according</t>
  </si>
  <si>
    <t>new technologies redefine nature source question cell based poultry labeled</t>
  </si>
  <si>
    <t>cell lab made dairy products ve heard cultured wagyu steaks</t>
  </si>
  <si>
    <t>based เปร ยบเท ยบความเหม อน ความต าง จ ดเด นและจ</t>
  </si>
  <si>
    <t>celebrities more major influencers seeing investing upcoming brands recently leodicaprio</t>
  </si>
  <si>
    <t>#xprize #comogale</t>
  </si>
  <si>
    <t>75 cell based companies prefer term 'cultivated' products fooddive</t>
  </si>
  <si>
    <t>w fat cultivated based herotein missionbarns hybrid plant products mission</t>
  </si>
  <si>
    <t>uk emerging #cultivatedmeat ecosystem make country powerhouse alternative proteins exporting</t>
  </si>
  <si>
    <t>cell based gmo bio engineered food 'lab meat' selling going</t>
  </si>
  <si>
    <t>farming babbage jonfasman lab grown plant based future food grownunder</t>
  </si>
  <si>
    <t>australian company create cell based 'exotic' animals kangaroo lion</t>
  </si>
  <si>
    <t>cell based new leaders cultured australian agrifood 1950 grain fed</t>
  </si>
  <si>
    <t>alternatives cell based</t>
  </si>
  <si>
    <t>s cell animal one used singapore available here market based</t>
  </si>
  <si>
    <t>based chuckgrassley israeli startup makes cell opened pilot facility produce</t>
  </si>
  <si>
    <t>lab call clean cultivated cultured cell based grown</t>
  </si>
  <si>
    <t>5 yrs ago launched filmmaking journey chronicle birth clean cultured</t>
  </si>
  <si>
    <t>usdaが培養肉の表記についてパブコメを集めているなか 培養肉メーカーの75 がcultivatedを表記として好ましいと考えているとgfiの調査結果 メーカーからするとそうかもしれないが cellを入れないのは消費者保護としてまずいので cell culturedあたりに落ち着くのでは</t>
  </si>
  <si>
    <t>think cell based</t>
  </si>
  <si>
    <t>audreyeseybold think cell based</t>
  </si>
  <si>
    <t>sounds jacyanthis 'cultured' more accurate lab grown makes sound artificial</t>
  </si>
  <si>
    <t>cell based #foodpoll prefer called 1 cultivated 2 cultured 3</t>
  </si>
  <si>
    <t>ashton kutcher joins cell based company develop 3d bioprinting #3dprinting</t>
  </si>
  <si>
    <t>ashton kutcher joins cell based company develop 3d bioprinting</t>
  </si>
  <si>
    <t>#labmeat cell based products labelled foodsafetynews</t>
  </si>
  <si>
    <t>over 95 #hongkong want try #cellbased seafood study</t>
  </si>
  <si>
    <t>pvtjokerus berensonsghost 44magnumblue1 jakecoco joerogan enjoy fake elk jerky</t>
  </si>
  <si>
    <t>check out latest article gfi's attempt dismiss counter story cell</t>
  </si>
  <si>
    <t>article counter cell based berkeleyrabe david_griso ghgguru read joe fassler's</t>
  </si>
  <si>
    <t>3d printed made without animals takes aplusk thank #ashtonkutcher #slaughterfree</t>
  </si>
  <si>
    <t>aplusk 3d meatech3d actor fan investor think bioprinted part solution</t>
  </si>
  <si>
    <t>cell make based countries abundant ocean waters japan singapore philippines</t>
  </si>
  <si>
    <t>ashton kutcher joins cell based company develop 3d bioprinting via</t>
  </si>
  <si>
    <t>leonardo dicaprio invests cell based company mosa food matters live</t>
  </si>
  <si>
    <t>look forward seeing aplusk new cell based company future anuga</t>
  </si>
  <si>
    <t>link thanks greenqueenhk covering exciting study soroushjp coverage more info</t>
  </si>
  <si>
    <t>highly plant based cell cultured 67 people study try figure</t>
  </si>
  <si>
    <t>meatech ashton kutcher group teams bioprinted alt startup forefront cultured</t>
  </si>
  <si>
    <t>ashton kutcher joins cell based company develop 3d bioprinting #vegan</t>
  </si>
  <si>
    <t>better belief through more investment scientific development products stand chance</t>
  </si>
  <si>
    <t>moral problem never thought maybe move cell based #cellbasedmeat</t>
  </si>
  <si>
    <t>end animal aat made complete platform produce directly cells s</t>
  </si>
  <si>
    <t>s xxzxxzxxzzx themorganics thescotsman philip_ciwf ppl argue against nature factory</t>
  </si>
  <si>
    <t>end cell based future s produce products creating covering food</t>
  </si>
  <si>
    <t>section latest theeconomist covers future food covering cell based citing</t>
  </si>
  <si>
    <t>over 95 hong kong want try cell based seafood study</t>
  </si>
  <si>
    <t>cell based antelope cultured unlock southern africa s #nutrition problems</t>
  </si>
  <si>
    <t>#foodtech #startup comogale developing solutions future proof #southafrica's #nutrition #foodsecurity</t>
  </si>
  <si>
    <t>#futureoffood uk cell based #cellag #cellbasedmeat look journalist emiko terazono</t>
  </si>
  <si>
    <t>future cell based</t>
  </si>
  <si>
    <t>uk #futureoffood look journalist emiko terazono visits two cell based</t>
  </si>
  <si>
    <t>justegg newagemeats mosa_meat companies forefront #cellbasedmeat industry known cultivated cultured</t>
  </si>
  <si>
    <t>based cell great plant try data points coming credence institute</t>
  </si>
  <si>
    <t>casein efwhitton quite different cell based tissue cells involved protein</t>
  </si>
  <si>
    <t>Top Words in Tweet by Salience</t>
  </si>
  <si>
    <t>mission barns raised 24m plans upscale cell cultured technology build</t>
  </si>
  <si>
    <t>food 'lab meat' selling going change name frankenfood buy unhealthy</t>
  </si>
  <si>
    <t>new leaders agrifood cultured australian 1950 grain fed natural beef</t>
  </si>
  <si>
    <t>berkeleyrabe david_griso ghgguru read joe fassler's scale unlikely check out</t>
  </si>
  <si>
    <t>actor fan investor think bioprinted part solution #yesorno printed made</t>
  </si>
  <si>
    <t>pacificoaqua_bc bluenaluinc farming babbage jonfasman lab grown plant based future</t>
  </si>
  <si>
    <t>make countries abundant ocean waters japan singapore philippines farming microalgae</t>
  </si>
  <si>
    <t>thanks greenqueenhk covering exciting study soroushjp coverage more info world's</t>
  </si>
  <si>
    <t>via econus farming babbage jonfasman lab grown plant based future</t>
  </si>
  <si>
    <t>animal uk end cell based future s produce products creating</t>
  </si>
  <si>
    <t>uk look journalist emiko terazono visits two players hoxtonfarms #highersteaks</t>
  </si>
  <si>
    <t>plant try data points coming credence institute sa consumer adoption</t>
  </si>
  <si>
    <t>Top Word Pairs in Tweet by Count</t>
  </si>
  <si>
    <t>cell,cultured  cultured,meat  meat,hit  hit,grocery  grocery,stores  stores,next  next,5  5,years  years,predicts  predicts,expert</t>
  </si>
  <si>
    <t>freewheal,know  know,mung  mung,bean  bean,added  added,biotech  biotech,aka  aka,cell  cell,based  based,chicken  chicken,currently</t>
  </si>
  <si>
    <t>term,cultivated  cultivated,meat  meat,seems  seems,popular  popular,nomenclature  nomenclature,nowadays  nowadays,compared  compared,terms  terms,such  such,cultured</t>
  </si>
  <si>
    <t>matter,fat  fat,big  big,deal  deal,chinese  chinese,startup  startup,herotein  herotein,formerly  formerly,known  known,hero  hero,protein</t>
  </si>
  <si>
    <t>75,companies  companies,making  making,meat  meat,cells  cells,cultivated  cultivated,meat  meat,preferred  preferred,term  term,product  product,according</t>
  </si>
  <si>
    <t>daily,startups  startups,serious  serious,cell  cell,based  based,meat  meat,production  production,challenges  challenges,lie  lie,ahead</t>
  </si>
  <si>
    <t>enjoy,meat  meat,seafood  seafood,save  save,planet  planet,sort  sort,absolutely  absolutely,nothing  nothing,wrong  wrong,whole  whole,foods</t>
  </si>
  <si>
    <t>finally,cultivated  cultivated,meat  meat,industry  industry,starting  starting,come  come,together  together,around  around,label  label,'cultivated'  'cultivated',historically</t>
  </si>
  <si>
    <t>production,line  barbkiser,aware  aware,cell  cell,based  based,meat  meat,sold  sold,supermarkets  supermarkets,time  time,singapore  singapore,production</t>
  </si>
  <si>
    <t>#cellbased,#meatinfustry  #meatinfustry,industry  industry,still  still,faces  faces,major  major,challenge  challenge,regulatory  regulatory,approval  approval,according  according,new</t>
  </si>
  <si>
    <t>new,technologies  technologies,redefine  redefine,nature  nature,source  source,meat  meat,question  question,cell  cell,based  based,meat  meat,poultry</t>
  </si>
  <si>
    <t>based,meat  เปร,ยบเท  ยบเท,ยบความเหม  ยบความเหม,อน  อน,ความต  ความต,าง  าง,จ  จ,ดเด  ดเด,นและจ  นและจ,ดด</t>
  </si>
  <si>
    <t>#xprize,#comogale</t>
  </si>
  <si>
    <t>75,cell  cell,based  based,meat  meat,companies  companies,prefer  prefer,term  term,'cultivated'  'cultivated',products  products,fooddive</t>
  </si>
  <si>
    <t>hybrid,cultivated  plant,based  based,meat  meat,products  mission,barns  barns,raised  raised,24m  24m,w  w,plans  plans,upscale</t>
  </si>
  <si>
    <t>emerging,#cultivatedmeat  #cultivatedmeat,ecosystem  ecosystem,uk  uk,make  make,country  country,powerhouse  powerhouse,alternative  alternative,proteins  proteins,exporting  exporting,products</t>
  </si>
  <si>
    <t>cell,based  gmo,bio  bio,engineered  based,'lab  'lab,meat'  meat',selling  selling,going  going,change  change,name  name,gmo</t>
  </si>
  <si>
    <t>australian,company  company,create  create,cell  cell,based  based,meat  meat,'exotic'  'exotic',animals  animals,kangaroo  kangaroo,lion</t>
  </si>
  <si>
    <t>cell,based  based,meat  new,leaders  1950,grain  grain,fed  fed,natural  natural,beef  beef,2021  2021,fact  fact,checking</t>
  </si>
  <si>
    <t>one,s  s,used  used,singapore  singapore,available  available,here  here,market  market,cell  cell,based  based,protein  protein,s</t>
  </si>
  <si>
    <t>based,meat  chuckgrassley,israeli  israeli,startup  startup,makes  makes,cell  cell,based  meat,opened  opened,pilot  pilot,facility  facility,produce</t>
  </si>
  <si>
    <t>call,lab  lab,meat  meat,clean  clean,meat  meat,cultivated  cultivated,cultured  cultured,cell  cell,based  based,lab  lab,grown</t>
  </si>
  <si>
    <t>5,yrs  yrs,ago  ago,launched  launched,filmmaking  filmmaking,journey  journey,chronicle  chronicle,birth  birth,clean  clean,cultured  cultured,cell</t>
  </si>
  <si>
    <t>usdaが培養肉の表記についてパブコメを集めているなか,培養肉メーカーの75  培養肉メーカーの75,がcultivatedを表記として好ましいと考えているとgfiの調査結果  がcultivatedを表記として好ましいと考えているとgfiの調査結果,メーカーからするとそうかもしれないが  メーカーからするとそうかもしれないが,cellを入れないのは消費者保護としてまずいので  cellを入れないのは消費者保護としてまずいので,cell  cell,culturedあたりに落ち着くのでは</t>
  </si>
  <si>
    <t>audreyeseybold,think  think,cell  cell,based  based,meat</t>
  </si>
  <si>
    <t>jacyanthis,'cultured'  'cultured',sounds  sounds,more  more,accurate  accurate,lab  lab,grown  grown,makes  makes,sound  sound,artificial  artificial,cell</t>
  </si>
  <si>
    <t>ashton,kutcher  kutcher,joins  joins,cell  cell,based  based,meat  meat,company  company,develop  develop,3d  3d,bioprinting  bioprinting,#3dprinting</t>
  </si>
  <si>
    <t>cell,based  based,products  products,labelled  labelled,#labmeat  #labmeat,foodsafetynews  foodsafetynews,#labmeat</t>
  </si>
  <si>
    <t>pvtjokerus,berensonsghost  berensonsghost,44magnumblue1  44magnumblue1,jakecoco  jakecoco,joerogan  joerogan,enjoy  enjoy,fake  fake,elk  elk,jerky</t>
  </si>
  <si>
    <t>check,out  out,latest  latest,article  article,gfi's  gfi's,attempt  attempt,dismiss  dismiss,counter  counter,story  story,cell  cell,based</t>
  </si>
  <si>
    <t>cell,based  based,meat  berkeleyrabe,david_griso  david_griso,ghgguru  ghgguru,read  read,joe  joe,fassler's  fassler's,article  article,counter  counter,cell</t>
  </si>
  <si>
    <t>actor,aplusk  aplusk,fan  fan,investor  investor,think  think,3d  3d,bioprinted  bioprinted,meat  meat,part  part,solution  solution,#yesorno</t>
  </si>
  <si>
    <t>ashton,kutcher  kutcher,joins  joins,cell  cell,based  based,meat  meat,company  company,develop  develop,3d  3d,bioprinting  bioprinting,via</t>
  </si>
  <si>
    <t>leonardo,dicaprio  dicaprio,invests  invests,cell  cell,based  based,meat  meat,company  company,mosa  mosa,meat  meat,food  food,matters</t>
  </si>
  <si>
    <t>look,forward  forward,seeing  seeing,aplusk  aplusk,new  new,cell  cell,based  based,meat  meat,company  company,future  future,anuga</t>
  </si>
  <si>
    <t>thanks,greenqueenhk  greenqueenhk,covering  covering,exciting  exciting,study  soroushjp,link  link,coverage  coverage,more  more,info  info,world's  world's,first</t>
  </si>
  <si>
    <t>plant,based  cell,cultured  67,people  people,study  study,highly  highly,try  try,plant  based,meat  meat,cell  cultured,figure</t>
  </si>
  <si>
    <t>ashton,kutcher  kutcher,group  group,teams  teams,bioprinted  bioprinted,alt  alt,meat  meat,startup  startup,meatech  meatech,forefront  forefront,cultured</t>
  </si>
  <si>
    <t>ashton,kutcher  kutcher,joins  joins,cell  cell,based  based,meat  meat,company  company,develop  develop,3d  3d,bioprinting  bioprinting,#vegan</t>
  </si>
  <si>
    <t>belief,through  through,more  more,investment  investment,scientific  scientific,development  development,products  products,stand  stand,better  better,chance  chance,transitioning</t>
  </si>
  <si>
    <t>moral,problem  problem,never  never,thought  thought,maybe  maybe,move  move,cell  cell,based  based,meat  meat,#cellbasedmeat</t>
  </si>
  <si>
    <t>aat,made  made,complete  complete,end  end,end  end,platform  platform,produce  produce,meat  meat,directly  directly,animal  animal,cells</t>
  </si>
  <si>
    <t>xxzxxzxxzzx,themorganics  themorganics,thescotsman  thescotsman,philip_ciwf  philip_ciwf,ppl  ppl,argue  argue,s  s,against  against,nature  nature,factory  factory,farming</t>
  </si>
  <si>
    <t>cell,based  end,september  september,#cellbasedmeat  #cellbasedmeat,company  company,new  new,age  age,meats  meats,announced  announced,startup  startup,raised</t>
  </si>
  <si>
    <t>section,latest  latest,theeconomist  theeconomist,covers  covers,future  future,food  food,covering  covering,cell  cell,based  based,meat  meat,citing</t>
  </si>
  <si>
    <t>over,95  95,hong  hong,kong  kong,want  want,try  try,cell  cell,based  based,meat  meat,seafood  seafood,study</t>
  </si>
  <si>
    <t>cell,based  based,antelope  antelope,cultured  cultured,meat  meat,unlock  unlock,southern  southern,africa  africa,s  s,#nutrition  #nutrition,problems</t>
  </si>
  <si>
    <t>#foodtech,#startup  #startup,comogale  comogale,developing  developing,solutions  solutions,future  future,proof  proof,#southafrica's  #southafrica's,#nutrition  #nutrition,#foodsecurity  #foodsecurity,including</t>
  </si>
  <si>
    <t>future,meat  meat,cell  cell,based</t>
  </si>
  <si>
    <t>#futureoffood,look  look,uk  uk,journalist  journalist,emiko  emiko,terazono  terazono,visits  visits,two  two,cell  cell,based  based,meat</t>
  </si>
  <si>
    <t>justegg,newagemeats  newagemeats,mosa_meat  mosa_meat,companies  companies,forefront  forefront,#cellbasedmeat  #cellbasedmeat,industry  industry,known  known,cultivated  cultivated,cultured  cultured,meat</t>
  </si>
  <si>
    <t>cell,based  plant,based  based,meat  great,data  data,points  points,coming  coming,credence  credence,institute  institute,sa  sa,consumer</t>
  </si>
  <si>
    <t>efwhitton,quite  quite,different  different,cell  cell,based  based,meat  meat,tissue  tissue,cells  cells,involved  involved,casein  casein,protein</t>
  </si>
  <si>
    <t>Top Word Pairs in Tweet by Salience</t>
  </si>
  <si>
    <t>mission,barns  barns,raised  raised,24m  24m,w  w,plans  plans,upscale  upscale,cell  cell,cultured  cultured,fat  fat,technology</t>
  </si>
  <si>
    <t>based,'lab  'lab,meat'  meat',selling  selling,going  going,change  change,name  name,gmo  engineered,frankenfood  frankenfood,buy  buy,unhealthy</t>
  </si>
  <si>
    <t>new,leaders  1950,grain  grain,fed  fed,natural  natural,beef  beef,2021  2021,fact  fact,checking  checking,cell  leaders,board</t>
  </si>
  <si>
    <t>berkeleyrabe,david_griso  david_griso,ghgguru  ghgguru,read  read,joe  joe,fassler's  fassler's,article  article,counter  counter,cell  meat,scale  scale,unlikely</t>
  </si>
  <si>
    <t>seafood,pacificoaqua_bc  pacificoaqua_bc,replace  seafood,bluenaluinc  bluenaluinc,replace  babbage,jonfasman  jonfasman,lab  lab,grown  grown,plant  plant,based  based,meat</t>
  </si>
  <si>
    <t>countries,abundant  abundant,ocean  ocean,waters  waters,japan  japan,singapore  singapore,philippines  philippines,farming  farming,microalgae  microalgae,culture  culture,sea</t>
  </si>
  <si>
    <t>farming,via  via,econus  babbage,jonfasman  jonfasman,lab  lab,grown  grown,plant  plant,based  based,meat  meat,future  future,food</t>
  </si>
  <si>
    <t>#futureoffood,look  look,uk  uk,journalist  journalist,emiko  emiko,terazono  terazono,visits  visits,two  two,cell  based,meat  meat,players</t>
  </si>
  <si>
    <t>plant,based  great,data  data,points  points,coming  coming,credence  credence,institute  institute,sa  sa,consumer  consumer,adoption  adoption,awareness</t>
  </si>
  <si>
    <t>Word</t>
  </si>
  <si>
    <t>Sentiment List#1</t>
  </si>
  <si>
    <t>Sentiment List#2</t>
  </si>
  <si>
    <t>Sentiment List#3</t>
  </si>
  <si>
    <t>Words in Sentiment List#1</t>
  </si>
  <si>
    <t>Words in Sentiment List#2</t>
  </si>
  <si>
    <t>Words in Sentiment List#3</t>
  </si>
  <si>
    <t>Non-categorized Words</t>
  </si>
  <si>
    <t>Total Words</t>
  </si>
  <si>
    <t>seafood</t>
  </si>
  <si>
    <t>traditional</t>
  </si>
  <si>
    <t>explores</t>
  </si>
  <si>
    <t>merits</t>
  </si>
  <si>
    <t>vertical</t>
  </si>
  <si>
    <t>replace</t>
  </si>
  <si>
    <t>fish</t>
  </si>
  <si>
    <t>new</t>
  </si>
  <si>
    <t>make</t>
  </si>
  <si>
    <t>companies</t>
  </si>
  <si>
    <t>cells</t>
  </si>
  <si>
    <t>try</t>
  </si>
  <si>
    <t>study</t>
  </si>
  <si>
    <t>#ashtonkutcher</t>
  </si>
  <si>
    <t>#slaughterfree</t>
  </si>
  <si>
    <t>produce</t>
  </si>
  <si>
    <t>creating</t>
  </si>
  <si>
    <t>#cellbased</t>
  </si>
  <si>
    <t>5</t>
  </si>
  <si>
    <t>over</t>
  </si>
  <si>
    <t>steaks</t>
  </si>
  <si>
    <t>laboratory</t>
  </si>
  <si>
    <t>foodstuffs</t>
  </si>
  <si>
    <t>#invention</t>
  </si>
  <si>
    <t>#newinvention</t>
  </si>
  <si>
    <t>#newinventions</t>
  </si>
  <si>
    <t>#newtech</t>
  </si>
  <si>
    <t>#futuretech</t>
  </si>
  <si>
    <t>#newtechnology</t>
  </si>
  <si>
    <t>#futuretechnology</t>
  </si>
  <si>
    <t>protein</t>
  </si>
  <si>
    <t>report</t>
  </si>
  <si>
    <t>visits</t>
  </si>
  <si>
    <t>two</t>
  </si>
  <si>
    <t>players</t>
  </si>
  <si>
    <t>#highersteaks</t>
  </si>
  <si>
    <t>learn</t>
  </si>
  <si>
    <t>working</t>
  </si>
  <si>
    <t>hybrid</t>
  </si>
  <si>
    <t>95</t>
  </si>
  <si>
    <t>want</t>
  </si>
  <si>
    <t>clean</t>
  </si>
  <si>
    <t>through</t>
  </si>
  <si>
    <t>factory</t>
  </si>
  <si>
    <t>singapore</t>
  </si>
  <si>
    <t>consumer</t>
  </si>
  <si>
    <t>startups</t>
  </si>
  <si>
    <t>production</t>
  </si>
  <si>
    <t>take</t>
  </si>
  <si>
    <t>covering</t>
  </si>
  <si>
    <t>here</t>
  </si>
  <si>
    <t>sustainable</t>
  </si>
  <si>
    <t>yrs</t>
  </si>
  <si>
    <t>ago</t>
  </si>
  <si>
    <t>launched</t>
  </si>
  <si>
    <t>filmmaking</t>
  </si>
  <si>
    <t>journey</t>
  </si>
  <si>
    <t>chronicle</t>
  </si>
  <si>
    <t>birth</t>
  </si>
  <si>
    <t>movement</t>
  </si>
  <si>
    <t>eyes</t>
  </si>
  <si>
    <t>well</t>
  </si>
  <si>
    <t>worth</t>
  </si>
  <si>
    <t>#mytwitteranniversary</t>
  </si>
  <si>
    <t>alternative</t>
  </si>
  <si>
    <t>technology</t>
  </si>
  <si>
    <t>think</t>
  </si>
  <si>
    <t>up</t>
  </si>
  <si>
    <t>#hongkong</t>
  </si>
  <si>
    <t>2</t>
  </si>
  <si>
    <t>australian</t>
  </si>
  <si>
    <t>percent</t>
  </si>
  <si>
    <t>years</t>
  </si>
  <si>
    <t>alternatives</t>
  </si>
  <si>
    <t>faces</t>
  </si>
  <si>
    <t>challenges</t>
  </si>
  <si>
    <t>term</t>
  </si>
  <si>
    <t>essential</t>
  </si>
  <si>
    <t>countries</t>
  </si>
  <si>
    <t>industry</t>
  </si>
  <si>
    <t>known</t>
  </si>
  <si>
    <t>3</t>
  </si>
  <si>
    <t>raised</t>
  </si>
  <si>
    <t>#foodtech</t>
  </si>
  <si>
    <t>#nutrition</t>
  </si>
  <si>
    <t>free</t>
  </si>
  <si>
    <t>antelope</t>
  </si>
  <si>
    <t>thanks</t>
  </si>
  <si>
    <t>aat</t>
  </si>
  <si>
    <t>complete</t>
  </si>
  <si>
    <t>platform</t>
  </si>
  <si>
    <t>directly</t>
  </si>
  <si>
    <t>scalable</t>
  </si>
  <si>
    <t>renaissance</t>
  </si>
  <si>
    <t>farm</t>
  </si>
  <si>
    <t>'democratise</t>
  </si>
  <si>
    <t>access</t>
  </si>
  <si>
    <t>farms'</t>
  </si>
  <si>
    <t>emerging</t>
  </si>
  <si>
    <t>#cultivatedmeat</t>
  </si>
  <si>
    <t>ecosystem</t>
  </si>
  <si>
    <t>country</t>
  </si>
  <si>
    <t>powerhouse</t>
  </si>
  <si>
    <t>proteins</t>
  </si>
  <si>
    <t>exporting</t>
  </si>
  <si>
    <t>globe</t>
  </si>
  <si>
    <t>reducing</t>
  </si>
  <si>
    <t>reliance</t>
  </si>
  <si>
    <t>imported</t>
  </si>
  <si>
    <t>'</t>
  </si>
  <si>
    <t>better</t>
  </si>
  <si>
    <t>prefer</t>
  </si>
  <si>
    <t>know</t>
  </si>
  <si>
    <t>create</t>
  </si>
  <si>
    <t>'exotic'</t>
  </si>
  <si>
    <t>kangaroo</t>
  </si>
  <si>
    <t>lion</t>
  </si>
  <si>
    <t>recently</t>
  </si>
  <si>
    <t>one</t>
  </si>
  <si>
    <t>used</t>
  </si>
  <si>
    <t>demand</t>
  </si>
  <si>
    <t>next</t>
  </si>
  <si>
    <t>2040</t>
  </si>
  <si>
    <t>pessimistic</t>
  </si>
  <si>
    <t>'techno</t>
  </si>
  <si>
    <t>economic</t>
  </si>
  <si>
    <t>analysis'</t>
  </si>
  <si>
    <t>arguing</t>
  </si>
  <si>
    <t>agriculture</t>
  </si>
  <si>
    <t>lot</t>
  </si>
  <si>
    <t>difficult</t>
  </si>
  <si>
    <t>technical</t>
  </si>
  <si>
    <t>path</t>
  </si>
  <si>
    <t>becoming</t>
  </si>
  <si>
    <t>cost</t>
  </si>
  <si>
    <t>competitive</t>
  </si>
  <si>
    <t>farmed</t>
  </si>
  <si>
    <t>75</t>
  </si>
  <si>
    <t>according</t>
  </si>
  <si>
    <t>product</t>
  </si>
  <si>
    <t>different</t>
  </si>
  <si>
    <t>part</t>
  </si>
  <si>
    <t>great</t>
  </si>
  <si>
    <t>67</t>
  </si>
  <si>
    <t>59</t>
  </si>
  <si>
    <t>purchase</t>
  </si>
  <si>
    <t>60</t>
  </si>
  <si>
    <t>53</t>
  </si>
  <si>
    <t>revolution</t>
  </si>
  <si>
    <t>around</t>
  </si>
  <si>
    <t>world</t>
  </si>
  <si>
    <t>forefront</t>
  </si>
  <si>
    <t>september</t>
  </si>
  <si>
    <t>age</t>
  </si>
  <si>
    <t>meats</t>
  </si>
  <si>
    <t>announced</t>
  </si>
  <si>
    <t>massive</t>
  </si>
  <si>
    <t>25</t>
  </si>
  <si>
    <t>million</t>
  </si>
  <si>
    <t>series</t>
  </si>
  <si>
    <t>funding</t>
  </si>
  <si>
    <t>pork</t>
  </si>
  <si>
    <t>#startup</t>
  </si>
  <si>
    <t>developing</t>
  </si>
  <si>
    <t>solutions</t>
  </si>
  <si>
    <t>proof</t>
  </si>
  <si>
    <t>#southafrica's</t>
  </si>
  <si>
    <t>#foodsecurity</t>
  </si>
  <si>
    <t>including</t>
  </si>
  <si>
    <t>#meat</t>
  </si>
  <si>
    <t>roaming</t>
  </si>
  <si>
    <t>cattle</t>
  </si>
  <si>
    <t>reporting</t>
  </si>
  <si>
    <t>exciting</t>
  </si>
  <si>
    <t>section</t>
  </si>
  <si>
    <t>covers</t>
  </si>
  <si>
    <t>citing</t>
  </si>
  <si>
    <t>listen</t>
  </si>
  <si>
    <t>pdcast</t>
  </si>
  <si>
    <t>version</t>
  </si>
  <si>
    <t>nature</t>
  </si>
  <si>
    <t>natural</t>
  </si>
  <si>
    <t>way</t>
  </si>
  <si>
    <t>never</t>
  </si>
  <si>
    <t>save</t>
  </si>
  <si>
    <t>bioprinted</t>
  </si>
  <si>
    <t>meatech</t>
  </si>
  <si>
    <t>technologies</t>
  </si>
  <si>
    <t>people</t>
  </si>
  <si>
    <t>highly</t>
  </si>
  <si>
    <t>link</t>
  </si>
  <si>
    <t>forward</t>
  </si>
  <si>
    <t>#3dprinting</t>
  </si>
  <si>
    <t>ahead</t>
  </si>
  <si>
    <t>abundant</t>
  </si>
  <si>
    <t>ocean</t>
  </si>
  <si>
    <t>waters</t>
  </si>
  <si>
    <t>japan</t>
  </si>
  <si>
    <t>philippines</t>
  </si>
  <si>
    <t>microalgae</t>
  </si>
  <si>
    <t>culture</t>
  </si>
  <si>
    <t>surface</t>
  </si>
  <si>
    <t>basal</t>
  </si>
  <si>
    <t>medium</t>
  </si>
  <si>
    <t>crafting</t>
  </si>
  <si>
    <t>endeavor</t>
  </si>
  <si>
    <t>feasible</t>
  </si>
  <si>
    <t>even</t>
  </si>
  <si>
    <t>security</t>
  </si>
  <si>
    <t>possible</t>
  </si>
  <si>
    <t>proliferation</t>
  </si>
  <si>
    <t>differentiation</t>
  </si>
  <si>
    <t>ordering</t>
  </si>
  <si>
    <t>cellular</t>
  </si>
  <si>
    <t>scaffold</t>
  </si>
  <si>
    <t>general</t>
  </si>
  <si>
    <t>initial</t>
  </si>
  <si>
    <t>steps</t>
  </si>
  <si>
    <t>'building'</t>
  </si>
  <si>
    <t>paste</t>
  </si>
  <si>
    <t>molded</t>
  </si>
  <si>
    <t>dismiss</t>
  </si>
  <si>
    <t>story</t>
  </si>
  <si>
    <t>enjoy</t>
  </si>
  <si>
    <t>fake</t>
  </si>
  <si>
    <t>#foodpoll</t>
  </si>
  <si>
    <t>called</t>
  </si>
  <si>
    <t>1</t>
  </si>
  <si>
    <t>comment</t>
  </si>
  <si>
    <t>#food</t>
  </si>
  <si>
    <t>#alternativeprotien</t>
  </si>
  <si>
    <t>makes</t>
  </si>
  <si>
    <t>pilot</t>
  </si>
  <si>
    <t>market</t>
  </si>
  <si>
    <t>grow</t>
  </si>
  <si>
    <t>t</t>
  </si>
  <si>
    <t>leaders</t>
  </si>
  <si>
    <t>hit</t>
  </si>
  <si>
    <t>grocery</t>
  </si>
  <si>
    <t>stores</t>
  </si>
  <si>
    <t>predicts</t>
  </si>
  <si>
    <t>expert</t>
  </si>
  <si>
    <t>news</t>
  </si>
  <si>
    <t>seems</t>
  </si>
  <si>
    <t>agrifood</t>
  </si>
  <si>
    <t>co</t>
  </si>
  <si>
    <t>'lab</t>
  </si>
  <si>
    <t>meat'</t>
  </si>
  <si>
    <t>gmo</t>
  </si>
  <si>
    <t>bio</t>
  </si>
  <si>
    <t>engineered</t>
  </si>
  <si>
    <t>eating</t>
  </si>
  <si>
    <t>whole</t>
  </si>
  <si>
    <t>bring</t>
  </si>
  <si>
    <t>matter</t>
  </si>
  <si>
    <t>big</t>
  </si>
  <si>
    <t>deal</t>
  </si>
  <si>
    <t>chinese</t>
  </si>
  <si>
    <t>formerly</t>
  </si>
  <si>
    <t>hero</t>
  </si>
  <si>
    <t>entered</t>
  </si>
  <si>
    <t>strategic</t>
  </si>
  <si>
    <t>partnership</t>
  </si>
  <si>
    <t>producer</t>
  </si>
  <si>
    <t>launch</t>
  </si>
  <si>
    <t>'cultivated'</t>
  </si>
  <si>
    <t>invested</t>
  </si>
  <si>
    <t>focused</t>
  </si>
  <si>
    <t>still</t>
  </si>
  <si>
    <t>line</t>
  </si>
  <si>
    <t>serum</t>
  </si>
  <si>
    <t>making</t>
  </si>
  <si>
    <t>preferred</t>
  </si>
  <si>
    <t>poll</t>
  </si>
  <si>
    <t>momentum</t>
  </si>
  <si>
    <t>unveiled</t>
  </si>
  <si>
    <t>9</t>
  </si>
  <si>
    <t>12</t>
  </si>
  <si>
    <t>2030</t>
  </si>
  <si>
    <t>projected</t>
  </si>
  <si>
    <t>sales</t>
  </si>
  <si>
    <t>exceed</t>
  </si>
  <si>
    <t>100b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</si>
  <si>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</si>
  <si>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</si>
  <si>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</si>
  <si>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</si>
  <si>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</si>
  <si>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</si>
  <si>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</si>
  <si>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</si>
  <si>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</si>
  <si>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</si>
  <si>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</si>
  <si>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</si>
  <si>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</si>
  <si>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</si>
  <si>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</si>
  <si>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</si>
  <si>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</si>
  <si>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</si>
  <si>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</si>
  <si>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</si>
  <si>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</si>
  <si>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</si>
  <si>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</si>
  <si>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</si>
  <si>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</si>
  <si>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</si>
  <si>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</si>
  <si>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</si>
  <si>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</si>
  <si>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</si>
  <si>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</si>
  <si>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</si>
  <si>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</si>
  <si>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</si>
  <si>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</si>
  <si>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</si>
  <si>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</si>
  <si>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</si>
  <si>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</si>
  <si>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</si>
  <si>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</si>
  <si>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</si>
  <si>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</si>
  <si>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</si>
  <si>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</si>
  <si>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</si>
  <si>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</si>
  <si>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</si>
  <si>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</si>
  <si>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</si>
  <si>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</si>
  <si>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</si>
  <si>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</si>
  <si>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</si>
  <si>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</si>
  <si>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</si>
  <si>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</si>
  <si>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</si>
  <si>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</si>
  <si>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</si>
  <si>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</si>
  <si>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</si>
  <si>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</si>
  <si>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</si>
  <si>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</si>
  <si>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</si>
  <si>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</si>
  <si>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2021</t>
  </si>
  <si>
    <t>Sep</t>
  </si>
  <si>
    <t>28-Sep</t>
  </si>
  <si>
    <t>1 PM</t>
  </si>
  <si>
    <t>29-Sep</t>
  </si>
  <si>
    <t>8 PM</t>
  </si>
  <si>
    <t>Oct</t>
  </si>
  <si>
    <t>1-Oct</t>
  </si>
  <si>
    <t>3 PM</t>
  </si>
  <si>
    <t>4 PM</t>
  </si>
  <si>
    <t>4-Oct</t>
  </si>
  <si>
    <t>6 PM</t>
  </si>
  <si>
    <t>7 PM</t>
  </si>
  <si>
    <t>11 PM</t>
  </si>
  <si>
    <t>5-Oct</t>
  </si>
  <si>
    <t>12 AM</t>
  </si>
  <si>
    <t>8 AM</t>
  </si>
  <si>
    <t>5 PM</t>
  </si>
  <si>
    <t>9 PM</t>
  </si>
  <si>
    <t>6-Oct</t>
  </si>
  <si>
    <t>3 AM</t>
  </si>
  <si>
    <t>10 AM</t>
  </si>
  <si>
    <t>11 AM</t>
  </si>
  <si>
    <t>2 PM</t>
  </si>
  <si>
    <t>7-Oct</t>
  </si>
  <si>
    <t>1 AM</t>
  </si>
  <si>
    <t>2 AM</t>
  </si>
  <si>
    <t>4 AM</t>
  </si>
  <si>
    <t>6 AM</t>
  </si>
  <si>
    <t>8-Oct</t>
  </si>
  <si>
    <t>9-Oct</t>
  </si>
  <si>
    <t>7 AM</t>
  </si>
  <si>
    <t>10 PM</t>
  </si>
  <si>
    <t>10-Oct</t>
  </si>
  <si>
    <t>5 AM</t>
  </si>
  <si>
    <t>12 PM</t>
  </si>
  <si>
    <t>11-Oct</t>
  </si>
  <si>
    <t>9 AM</t>
  </si>
  <si>
    <t>12-Oct</t>
  </si>
  <si>
    <t>Green</t>
  </si>
  <si>
    <t>33, 112, 0</t>
  </si>
  <si>
    <t>163, 46, 0</t>
  </si>
  <si>
    <t>66, 95, 0</t>
  </si>
  <si>
    <t>Red</t>
  </si>
  <si>
    <t>196, 30, 0</t>
  </si>
  <si>
    <t>G1: farming babbage jonfasman lab grown plant based meat future food</t>
  </si>
  <si>
    <t>G2: meat cell based ashton kutcher company 3d bioprinting joins develop</t>
  </si>
  <si>
    <t>G3: meat s cell based end agree future uk animal cultured</t>
  </si>
  <si>
    <t>G4: meat 3d aplusk meatech3d printed made without animals takes thank</t>
  </si>
  <si>
    <t>G5: meat based cultivated cell plant fat goodfoodinst w herotein missionbarns</t>
  </si>
  <si>
    <t>G6: celebrities more mosa_meat meat major influencers seeing investing upcoming brands</t>
  </si>
  <si>
    <t>G7: cell lab made dairy products ve heard cultured meat wagyu</t>
  </si>
  <si>
    <t>G8: article counter cell based meat check out latest gfi's attempt</t>
  </si>
  <si>
    <t>G10: uk #futureoffood cell based #cellag #cellbasedmeat look journalist emiko terazono</t>
  </si>
  <si>
    <t>G11: s</t>
  </si>
  <si>
    <t>G12: over 95 #hongkong want try #cellbased meat seafood study</t>
  </si>
  <si>
    <t>G13: ashton kutcher joins cell based meat company develop 3d bioprinting</t>
  </si>
  <si>
    <t>G14: meat cell based australian company create 'exotic' animals kangaroo lion</t>
  </si>
  <si>
    <t>G15: pessimistic 'techno economic analysis' arguing cell based agriculture faces lot</t>
  </si>
  <si>
    <t>G16: meat cultured based momentum new report oupeconomics unveiled cell make</t>
  </si>
  <si>
    <t>G17: casein</t>
  </si>
  <si>
    <t>G18: cell make meat based countries abundant ocean waters japan singapore</t>
  </si>
  <si>
    <t>G19: #labmeat</t>
  </si>
  <si>
    <t>G20: cell based #foodpoll prefer meat called 1 cultivated 2 cultured</t>
  </si>
  <si>
    <t>G21: sounds</t>
  </si>
  <si>
    <t>G22: think cell based meat</t>
  </si>
  <si>
    <t>G23: meat based</t>
  </si>
  <si>
    <t>G24: meat alternatives cell based</t>
  </si>
  <si>
    <t>G27: based production line serum</t>
  </si>
  <si>
    <t>G28: chicken</t>
  </si>
  <si>
    <t>Edge Weight▓1▓9▓0▓True▓Green▓Red▓▓Edge Weight▓1▓3▓0▓3▓10▓False▓Edge Weight▓1▓9▓0▓32▓6▓False▓▓0▓0▓0▓True▓Black▓Black▓▓Followers▓0▓1660966▓0▓162▓1000▓False▓▓0▓0▓0▓0▓0▓False▓▓0▓0▓0▓0▓0▓False▓▓0▓0▓0▓0▓0▓False</t>
  </si>
  <si>
    <t>Subgraph</t>
  </si>
  <si>
    <t>GraphSource░TwitterSearch▓GraphTerm░cell-based meat▓ImportDescription░The graph represents a network of 172 Twitter users whose recent tweets contained "cell-based meat", or who were replied to or mentioned in those tweets, taken from a data set limited to a maximum of 18,000 tweets.  The network was obtained from Twitter on Tuesday, 12 October 2021 at 21:54 UTC.
The tweets in the network were tweeted over the 8-day, 4-hour, 0-minute period from Monday, 04 October 2021 at 13:39 UTC to Tuesday, 12 October 2021 at 17:39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"mentions".▓ImportSuggestedTitle░cell-based meat Twitter NodeXL SNA Map and Report for Tuesday, 12 October 2021 at 21:53 UTC▓ImportSuggestedFileNameNoExtension░2021-10-12 21-53-08 NodeXL Twitter Search cell-based meat▓GroupingDescription░The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</si>
  <si>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</si>
  <si>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</si>
  <si>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</si>
  <si>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</si>
  <si>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</si>
  <si>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</si>
  <si>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</si>
  <si>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</si>
  <si>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</si>
  <si>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</si>
  <si>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</si>
  <si>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</si>
  <si>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</si>
  <si>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</si>
  <si>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</si>
  <si>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</si>
  <si>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</si>
  <si>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cell-based meat</t>
  </si>
  <si>
    <t>The graph represents a network of 172 Twitter users whose recent tweets contained "cell-based meat", or who were replied to or mentioned in those tweets, taken from a data set limited to a maximum of 18,000 tweets.  The network was obtained from Twitter on Tuesday, 12 October 2021 at 21:54 UTC.
The tweets in the network were tweeted over the 8-day, 4-hour, 0-minute period from Monday, 04 October 2021 at 13:39 UTC to Tuesday, 12 October 2021 at 17:39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</si>
  <si>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</si>
  <si>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</si>
  <si>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https://nodexlgraphgallery.org/Pages/Graph.aspx?graphID=264399</t>
  </si>
  <si>
    <t>https://nodexlgraphgallery.org/Images/Image.ashx?graphID=264399&amp;type=f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</si>
</sst>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4"/>
      <tableStyleElement type="headerRow" dxfId="503"/>
    </tableStyle>
    <tableStyle name="NodeXL Table" pivot="0" count="1">
      <tableStyleElement type="headerRow" dxfId="5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49479"/>
        <c:axId val="34018720"/>
      </c:barChart>
      <c:catAx>
        <c:axId val="26149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18720"/>
        <c:crosses val="autoZero"/>
        <c:auto val="1"/>
        <c:lblOffset val="100"/>
        <c:noMultiLvlLbl val="0"/>
      </c:catAx>
      <c:valAx>
        <c:axId val="3401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cell-based meat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91"/>
                <c:pt idx="0">
                  <c:v>1 PM
28-Sep
Sep
2021</c:v>
                </c:pt>
                <c:pt idx="1">
                  <c:v>8 PM
29-Sep</c:v>
                </c:pt>
                <c:pt idx="2">
                  <c:v>3 PM
1-Oct
Oct</c:v>
                </c:pt>
                <c:pt idx="3">
                  <c:v>4 PM</c:v>
                </c:pt>
                <c:pt idx="4">
                  <c:v>1 PM
4-Oct</c:v>
                </c:pt>
                <c:pt idx="5">
                  <c:v>3 PM</c:v>
                </c:pt>
                <c:pt idx="6">
                  <c:v>4 PM</c:v>
                </c:pt>
                <c:pt idx="7">
                  <c:v>6 PM</c:v>
                </c:pt>
                <c:pt idx="8">
                  <c:v>7 PM</c:v>
                </c:pt>
                <c:pt idx="9">
                  <c:v>11 PM</c:v>
                </c:pt>
                <c:pt idx="10">
                  <c:v>12 AM
5-Oct</c:v>
                </c:pt>
                <c:pt idx="11">
                  <c:v>8 AM</c:v>
                </c:pt>
                <c:pt idx="12">
                  <c:v>3 PM</c:v>
                </c:pt>
                <c:pt idx="13">
                  <c:v>5 PM</c:v>
                </c:pt>
                <c:pt idx="14">
                  <c:v>6 PM</c:v>
                </c:pt>
                <c:pt idx="15">
                  <c:v>7 PM</c:v>
                </c:pt>
                <c:pt idx="16">
                  <c:v>9 PM</c:v>
                </c:pt>
                <c:pt idx="17">
                  <c:v>11 PM</c:v>
                </c:pt>
                <c:pt idx="18">
                  <c:v>3 AM
6-Oct</c:v>
                </c:pt>
                <c:pt idx="19">
                  <c:v>8 AM</c:v>
                </c:pt>
                <c:pt idx="20">
                  <c:v>10 AM</c:v>
                </c:pt>
                <c:pt idx="21">
                  <c:v>11 AM</c:v>
                </c:pt>
                <c:pt idx="22">
                  <c:v>1 PM</c:v>
                </c:pt>
                <c:pt idx="23">
                  <c:v>2 PM</c:v>
                </c:pt>
                <c:pt idx="24">
                  <c:v>3 PM</c:v>
                </c:pt>
                <c:pt idx="25">
                  <c:v>4 PM</c:v>
                </c:pt>
                <c:pt idx="26">
                  <c:v>7 PM</c:v>
                </c:pt>
                <c:pt idx="27">
                  <c:v>11 PM</c:v>
                </c:pt>
                <c:pt idx="28">
                  <c:v>1 AM
7-Oct</c:v>
                </c:pt>
                <c:pt idx="29">
                  <c:v>2 AM</c:v>
                </c:pt>
                <c:pt idx="30">
                  <c:v>4 AM</c:v>
                </c:pt>
                <c:pt idx="31">
                  <c:v>6 AM</c:v>
                </c:pt>
                <c:pt idx="32">
                  <c:v>8 AM</c:v>
                </c:pt>
                <c:pt idx="33">
                  <c:v>10 AM</c:v>
                </c:pt>
                <c:pt idx="34">
                  <c:v>11 AM</c:v>
                </c:pt>
                <c:pt idx="35">
                  <c:v>1 PM</c:v>
                </c:pt>
                <c:pt idx="36">
                  <c:v>5 PM</c:v>
                </c:pt>
                <c:pt idx="37">
                  <c:v>7 PM</c:v>
                </c:pt>
                <c:pt idx="38">
                  <c:v>8 PM</c:v>
                </c:pt>
                <c:pt idx="39">
                  <c:v>9 PM</c:v>
                </c:pt>
                <c:pt idx="40">
                  <c:v>11 PM</c:v>
                </c:pt>
                <c:pt idx="41">
                  <c:v>1 AM
8-Oct</c:v>
                </c:pt>
                <c:pt idx="42">
                  <c:v>4 AM</c:v>
                </c:pt>
                <c:pt idx="43">
                  <c:v>8 AM</c:v>
                </c:pt>
                <c:pt idx="44">
                  <c:v>11 AM</c:v>
                </c:pt>
                <c:pt idx="45">
                  <c:v>1 PM</c:v>
                </c:pt>
                <c:pt idx="46">
                  <c:v>2 PM</c:v>
                </c:pt>
                <c:pt idx="47">
                  <c:v>4 PM</c:v>
                </c:pt>
                <c:pt idx="48">
                  <c:v>6 PM</c:v>
                </c:pt>
                <c:pt idx="49">
                  <c:v>7 PM</c:v>
                </c:pt>
                <c:pt idx="50">
                  <c:v>9 PM</c:v>
                </c:pt>
                <c:pt idx="51">
                  <c:v>11 PM</c:v>
                </c:pt>
                <c:pt idx="52">
                  <c:v>12 AM
9-Oct</c:v>
                </c:pt>
                <c:pt idx="53">
                  <c:v>2 AM</c:v>
                </c:pt>
                <c:pt idx="54">
                  <c:v>3 AM</c:v>
                </c:pt>
                <c:pt idx="55">
                  <c:v>4 AM</c:v>
                </c:pt>
                <c:pt idx="56">
                  <c:v>7 AM</c:v>
                </c:pt>
                <c:pt idx="57">
                  <c:v>8 AM</c:v>
                </c:pt>
                <c:pt idx="58">
                  <c:v>4 PM</c:v>
                </c:pt>
                <c:pt idx="59">
                  <c:v>5 PM</c:v>
                </c:pt>
                <c:pt idx="60">
                  <c:v>7 PM</c:v>
                </c:pt>
                <c:pt idx="61">
                  <c:v>10 PM</c:v>
                </c:pt>
                <c:pt idx="62">
                  <c:v>11 PM</c:v>
                </c:pt>
                <c:pt idx="63">
                  <c:v>4 AM
10-Oct</c:v>
                </c:pt>
                <c:pt idx="64">
                  <c:v>5 AM</c:v>
                </c:pt>
                <c:pt idx="65">
                  <c:v>6 AM</c:v>
                </c:pt>
                <c:pt idx="66">
                  <c:v>7 AM</c:v>
                </c:pt>
                <c:pt idx="67">
                  <c:v>8 AM</c:v>
                </c:pt>
                <c:pt idx="68">
                  <c:v>11 AM</c:v>
                </c:pt>
                <c:pt idx="69">
                  <c:v>12 PM</c:v>
                </c:pt>
                <c:pt idx="70">
                  <c:v>1 PM</c:v>
                </c:pt>
                <c:pt idx="71">
                  <c:v>4 PM</c:v>
                </c:pt>
                <c:pt idx="72">
                  <c:v>5 PM</c:v>
                </c:pt>
                <c:pt idx="73">
                  <c:v>7 PM</c:v>
                </c:pt>
                <c:pt idx="74">
                  <c:v>11 PM</c:v>
                </c:pt>
                <c:pt idx="75">
                  <c:v>4 AM
11-Oct</c:v>
                </c:pt>
                <c:pt idx="76">
                  <c:v>5 AM</c:v>
                </c:pt>
                <c:pt idx="77">
                  <c:v>8 AM</c:v>
                </c:pt>
                <c:pt idx="78">
                  <c:v>9 AM</c:v>
                </c:pt>
                <c:pt idx="79">
                  <c:v>12 PM</c:v>
                </c:pt>
                <c:pt idx="80">
                  <c:v>3 PM</c:v>
                </c:pt>
                <c:pt idx="81">
                  <c:v>8 PM</c:v>
                </c:pt>
                <c:pt idx="82">
                  <c:v>11 PM</c:v>
                </c:pt>
                <c:pt idx="83">
                  <c:v>4 AM
12-Oct</c:v>
                </c:pt>
                <c:pt idx="84">
                  <c:v>9 AM</c:v>
                </c:pt>
                <c:pt idx="85">
                  <c:v>11 AM</c:v>
                </c:pt>
                <c:pt idx="86">
                  <c:v>2 PM</c:v>
                </c:pt>
                <c:pt idx="87">
                  <c:v>3 PM</c:v>
                </c:pt>
                <c:pt idx="88">
                  <c:v>5 PM</c:v>
                </c:pt>
                <c:pt idx="89">
                  <c:v>7 PM</c:v>
                </c:pt>
                <c:pt idx="90">
                  <c:v>9 PM</c:v>
                </c:pt>
              </c:strCache>
            </c:strRef>
          </c:cat>
          <c:val>
            <c:numRef>
              <c:f>'Time Series'!$B$26:$B$132</c:f>
              <c:numCache>
                <c:formatCode>General</c:formatCode>
                <c:ptCount val="91"/>
                <c:pt idx="0">
                  <c:v>1</c:v>
                </c:pt>
                <c:pt idx="1">
                  <c:v>1</c:v>
                </c:pt>
                <c:pt idx="2">
                  <c:v>1</c:v>
                </c:pt>
                <c:pt idx="3">
                  <c:v>1</c:v>
                </c:pt>
                <c:pt idx="4">
                  <c:v>1</c:v>
                </c:pt>
                <c:pt idx="5">
                  <c:v>2</c:v>
                </c:pt>
                <c:pt idx="6">
                  <c:v>1</c:v>
                </c:pt>
                <c:pt idx="7">
                  <c:v>3</c:v>
                </c:pt>
                <c:pt idx="8">
                  <c:v>1</c:v>
                </c:pt>
                <c:pt idx="9">
                  <c:v>1</c:v>
                </c:pt>
                <c:pt idx="10">
                  <c:v>1</c:v>
                </c:pt>
                <c:pt idx="11">
                  <c:v>1</c:v>
                </c:pt>
                <c:pt idx="12">
                  <c:v>1</c:v>
                </c:pt>
                <c:pt idx="13">
                  <c:v>1</c:v>
                </c:pt>
                <c:pt idx="14">
                  <c:v>1</c:v>
                </c:pt>
                <c:pt idx="15">
                  <c:v>2</c:v>
                </c:pt>
                <c:pt idx="16">
                  <c:v>2</c:v>
                </c:pt>
                <c:pt idx="17">
                  <c:v>1</c:v>
                </c:pt>
                <c:pt idx="18">
                  <c:v>2</c:v>
                </c:pt>
                <c:pt idx="19">
                  <c:v>2</c:v>
                </c:pt>
                <c:pt idx="20">
                  <c:v>1</c:v>
                </c:pt>
                <c:pt idx="21">
                  <c:v>1</c:v>
                </c:pt>
                <c:pt idx="22">
                  <c:v>2</c:v>
                </c:pt>
                <c:pt idx="23">
                  <c:v>1</c:v>
                </c:pt>
                <c:pt idx="24">
                  <c:v>3</c:v>
                </c:pt>
                <c:pt idx="25">
                  <c:v>2</c:v>
                </c:pt>
                <c:pt idx="26">
                  <c:v>2</c:v>
                </c:pt>
                <c:pt idx="27">
                  <c:v>1</c:v>
                </c:pt>
                <c:pt idx="28">
                  <c:v>1</c:v>
                </c:pt>
                <c:pt idx="29">
                  <c:v>1</c:v>
                </c:pt>
                <c:pt idx="30">
                  <c:v>2</c:v>
                </c:pt>
                <c:pt idx="31">
                  <c:v>4</c:v>
                </c:pt>
                <c:pt idx="32">
                  <c:v>4</c:v>
                </c:pt>
                <c:pt idx="33">
                  <c:v>12</c:v>
                </c:pt>
                <c:pt idx="34">
                  <c:v>2</c:v>
                </c:pt>
                <c:pt idx="35">
                  <c:v>1</c:v>
                </c:pt>
                <c:pt idx="36">
                  <c:v>1</c:v>
                </c:pt>
                <c:pt idx="37">
                  <c:v>1</c:v>
                </c:pt>
                <c:pt idx="38">
                  <c:v>1</c:v>
                </c:pt>
                <c:pt idx="39">
                  <c:v>1</c:v>
                </c:pt>
                <c:pt idx="40">
                  <c:v>3</c:v>
                </c:pt>
                <c:pt idx="41">
                  <c:v>3</c:v>
                </c:pt>
                <c:pt idx="42">
                  <c:v>1</c:v>
                </c:pt>
                <c:pt idx="43">
                  <c:v>4</c:v>
                </c:pt>
                <c:pt idx="44">
                  <c:v>1</c:v>
                </c:pt>
                <c:pt idx="45">
                  <c:v>3</c:v>
                </c:pt>
                <c:pt idx="46">
                  <c:v>1</c:v>
                </c:pt>
                <c:pt idx="47">
                  <c:v>3</c:v>
                </c:pt>
                <c:pt idx="48">
                  <c:v>1</c:v>
                </c:pt>
                <c:pt idx="49">
                  <c:v>6</c:v>
                </c:pt>
                <c:pt idx="50">
                  <c:v>1</c:v>
                </c:pt>
                <c:pt idx="51">
                  <c:v>1</c:v>
                </c:pt>
                <c:pt idx="52">
                  <c:v>2</c:v>
                </c:pt>
                <c:pt idx="53">
                  <c:v>1</c:v>
                </c:pt>
                <c:pt idx="54">
                  <c:v>2</c:v>
                </c:pt>
                <c:pt idx="55">
                  <c:v>11</c:v>
                </c:pt>
                <c:pt idx="56">
                  <c:v>1</c:v>
                </c:pt>
                <c:pt idx="57">
                  <c:v>3</c:v>
                </c:pt>
                <c:pt idx="58">
                  <c:v>1</c:v>
                </c:pt>
                <c:pt idx="59">
                  <c:v>1</c:v>
                </c:pt>
                <c:pt idx="60">
                  <c:v>2</c:v>
                </c:pt>
                <c:pt idx="61">
                  <c:v>1</c:v>
                </c:pt>
                <c:pt idx="62">
                  <c:v>2</c:v>
                </c:pt>
                <c:pt idx="63">
                  <c:v>1</c:v>
                </c:pt>
                <c:pt idx="64">
                  <c:v>1</c:v>
                </c:pt>
                <c:pt idx="65">
                  <c:v>3</c:v>
                </c:pt>
                <c:pt idx="66">
                  <c:v>2</c:v>
                </c:pt>
                <c:pt idx="67">
                  <c:v>4</c:v>
                </c:pt>
                <c:pt idx="68">
                  <c:v>1</c:v>
                </c:pt>
                <c:pt idx="69">
                  <c:v>1</c:v>
                </c:pt>
                <c:pt idx="70">
                  <c:v>3</c:v>
                </c:pt>
                <c:pt idx="71">
                  <c:v>1</c:v>
                </c:pt>
                <c:pt idx="72">
                  <c:v>1</c:v>
                </c:pt>
                <c:pt idx="73">
                  <c:v>2</c:v>
                </c:pt>
                <c:pt idx="74">
                  <c:v>1</c:v>
                </c:pt>
                <c:pt idx="75">
                  <c:v>10</c:v>
                </c:pt>
                <c:pt idx="76">
                  <c:v>1</c:v>
                </c:pt>
                <c:pt idx="77">
                  <c:v>5</c:v>
                </c:pt>
                <c:pt idx="78">
                  <c:v>3</c:v>
                </c:pt>
                <c:pt idx="79">
                  <c:v>1</c:v>
                </c:pt>
                <c:pt idx="80">
                  <c:v>2</c:v>
                </c:pt>
                <c:pt idx="81">
                  <c:v>1</c:v>
                </c:pt>
                <c:pt idx="82">
                  <c:v>2</c:v>
                </c:pt>
                <c:pt idx="83">
                  <c:v>3</c:v>
                </c:pt>
                <c:pt idx="84">
                  <c:v>1</c:v>
                </c:pt>
                <c:pt idx="85">
                  <c:v>2</c:v>
                </c:pt>
                <c:pt idx="86">
                  <c:v>4</c:v>
                </c:pt>
                <c:pt idx="87">
                  <c:v>1</c:v>
                </c:pt>
                <c:pt idx="88">
                  <c:v>2</c:v>
                </c:pt>
                <c:pt idx="89">
                  <c:v>1</c:v>
                </c:pt>
                <c:pt idx="90">
                  <c:v>1</c:v>
                </c:pt>
              </c:numCache>
            </c:numRef>
          </c:val>
        </c:ser>
        <c:axId val="6674673"/>
        <c:axId val="60072058"/>
      </c:barChart>
      <c:catAx>
        <c:axId val="6674673"/>
        <c:scaling>
          <c:orientation val="minMax"/>
        </c:scaling>
        <c:axPos val="b"/>
        <c:delete val="0"/>
        <c:numFmt formatCode="General" sourceLinked="1"/>
        <c:majorTickMark val="out"/>
        <c:minorTickMark val="none"/>
        <c:tickLblPos val="nextTo"/>
        <c:crossAx val="60072058"/>
        <c:crosses val="autoZero"/>
        <c:auto val="1"/>
        <c:lblOffset val="100"/>
        <c:noMultiLvlLbl val="0"/>
      </c:catAx>
      <c:valAx>
        <c:axId val="60072058"/>
        <c:scaling>
          <c:orientation val="minMax"/>
        </c:scaling>
        <c:axPos val="l"/>
        <c:majorGridlines/>
        <c:delete val="0"/>
        <c:numFmt formatCode="General" sourceLinked="1"/>
        <c:majorTickMark val="out"/>
        <c:minorTickMark val="none"/>
        <c:tickLblPos val="nextTo"/>
        <c:crossAx val="66746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33025"/>
        <c:axId val="4052906"/>
      </c:barChart>
      <c:catAx>
        <c:axId val="377330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2906"/>
        <c:crosses val="autoZero"/>
        <c:auto val="1"/>
        <c:lblOffset val="100"/>
        <c:noMultiLvlLbl val="0"/>
      </c:catAx>
      <c:valAx>
        <c:axId val="405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76155"/>
        <c:axId val="59849940"/>
      </c:barChart>
      <c:catAx>
        <c:axId val="36476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49940"/>
        <c:crosses val="autoZero"/>
        <c:auto val="1"/>
        <c:lblOffset val="100"/>
        <c:noMultiLvlLbl val="0"/>
      </c:catAx>
      <c:valAx>
        <c:axId val="5984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78549"/>
        <c:axId val="16006942"/>
      </c:barChart>
      <c:catAx>
        <c:axId val="1778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06942"/>
        <c:crosses val="autoZero"/>
        <c:auto val="1"/>
        <c:lblOffset val="100"/>
        <c:noMultiLvlLbl val="0"/>
      </c:catAx>
      <c:valAx>
        <c:axId val="1600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44751"/>
        <c:axId val="21493896"/>
      </c:barChart>
      <c:catAx>
        <c:axId val="98447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93896"/>
        <c:crosses val="autoZero"/>
        <c:auto val="1"/>
        <c:lblOffset val="100"/>
        <c:noMultiLvlLbl val="0"/>
      </c:catAx>
      <c:valAx>
        <c:axId val="2149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4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27337"/>
        <c:axId val="63283986"/>
      </c:barChart>
      <c:catAx>
        <c:axId val="59227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83986"/>
        <c:crosses val="autoZero"/>
        <c:auto val="1"/>
        <c:lblOffset val="100"/>
        <c:noMultiLvlLbl val="0"/>
      </c:catAx>
      <c:valAx>
        <c:axId val="6328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7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684963"/>
        <c:axId val="25729212"/>
      </c:barChart>
      <c:catAx>
        <c:axId val="32684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29212"/>
        <c:crosses val="autoZero"/>
        <c:auto val="1"/>
        <c:lblOffset val="100"/>
        <c:noMultiLvlLbl val="0"/>
      </c:catAx>
      <c:valAx>
        <c:axId val="2572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36317"/>
        <c:axId val="3691398"/>
      </c:barChart>
      <c:catAx>
        <c:axId val="30236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1398"/>
        <c:crosses val="autoZero"/>
        <c:auto val="1"/>
        <c:lblOffset val="100"/>
        <c:noMultiLvlLbl val="0"/>
      </c:catAx>
      <c:valAx>
        <c:axId val="3691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22583"/>
        <c:axId val="30567792"/>
      </c:barChart>
      <c:catAx>
        <c:axId val="33222583"/>
        <c:scaling>
          <c:orientation val="minMax"/>
        </c:scaling>
        <c:axPos val="b"/>
        <c:delete val="1"/>
        <c:majorTickMark val="out"/>
        <c:minorTickMark val="none"/>
        <c:tickLblPos val="none"/>
        <c:crossAx val="30567792"/>
        <c:crosses val="autoZero"/>
        <c:auto val="1"/>
        <c:lblOffset val="100"/>
        <c:noMultiLvlLbl val="0"/>
      </c:catAx>
      <c:valAx>
        <c:axId val="30567792"/>
        <c:scaling>
          <c:orientation val="minMax"/>
        </c:scaling>
        <c:axPos val="l"/>
        <c:delete val="1"/>
        <c:majorTickMark val="out"/>
        <c:minorTickMark val="none"/>
        <c:tickLblPos val="none"/>
        <c:crossAx val="332225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allypwy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lantfinan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upeconomic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eremyszafr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ichelersim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freewhe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foodpreneurs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goodfoodin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eganpoinsk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welllibrari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eatpoult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1allpurpo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oshuamar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hill_pur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barbkis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smperime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luxresear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sifo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sirlambom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vision4future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whatisayisn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greenative_c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foodinstitut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lairececchin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lephfarm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leodicapri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mosa_mea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rpaulbartel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ironstar9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blacksmithapp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ooddiv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80000hou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obertwibl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imonfriederic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joyancepartner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vegconomis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ssionbarn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profjbmatth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slintec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positiveradi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akangunery_"/>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bluenaluin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grownund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onfasma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econu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amdeleon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theeconomi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moh_ni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world_news_en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ezeonuf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ucejaxo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andrew4154416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jungian_sou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y_supans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marionnestl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jessica_raner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gregory_chup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glorydey1"/>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teve_ia_hil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chuckgrassle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zzycond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vectorresear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lizmarsfil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upsidefood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umavalet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tffil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toshichimu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udreyeseybol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jantjiesky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avf_scooby200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acyanthi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culinarycultur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ial_americ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ra_mc"/>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3dprintmav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mslisawilliam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geneticliterac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foodsafetynew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vsnnj"/>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verdantsquar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vsnpen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eganinsigh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ongin2100"/>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earthaccountin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ings4pali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joerog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jakeco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44magnumblue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berensonsgho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pvtjoker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shauncoffe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inkedi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aulwood1508"/>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asimkha0239986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ksmohamed_suni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hana_soul_hack"/>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travermadon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greenassam"/>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georgerowell12"/>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sadam08499791"/>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orbitalgarden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loucoop1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reginabanal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le6altro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meatech3d"/>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aplusk"/>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vegnew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pepe_natur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sdelagrav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economistpod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ghggur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david_gris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berkeleyrab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carlokar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upcell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hoycriste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rtopitsch"/>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augustakaiseri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foodtechmatt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ttranph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koelnmesseinc"/>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anug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philliprussopov"/>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rabigo36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oracleatmushi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eduped_econom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jamescounihan1"/>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soap0928913"/>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parvez_offi"/>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monluz2"/>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shyshoegaze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dd_jessica_"/>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shiokmeat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soroushjp"/>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kjgheroman"/>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frusci"/>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oikos_solution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tigrinya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jshpigler"/>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animalsuj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makers_movemen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vegansfac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87" name="Subgraph-kobergcap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89" name="Subgraph-pacificoaqua_b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91" name="Subgraph-leongreyc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93" name="Subgraph-davehansford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95" name="Subgraph-skryb"/>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97" name="Subgraph-sethduma"/>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99" name="Subgraph-philip_ciw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301" name="Subgraph-thescotsm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303" name="Subgraph-themorganic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305" name="Subgraph-xxzxxzxxzz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307" name="Subgraph-craftmeati"/>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309" name="Subgraph-helikonc"/>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311" name="Subgraph-eatgourmey"/>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13" name="Subgraph-greenqueenhk"/>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15" name="Subgraph-fooding1st"/>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17" name="Subgraph-protein_report"/>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19" name="Subgraph-comogal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21" name="Subgraph-cellagritech"/>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23" name="Subgraph-ryanbethencou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25" name="Subgraph-stevecjjones"/>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27" name="Subgraph-hoxtonfarms"/>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29" name="Subgraph-midoriecosystem"/>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31" name="Subgraph-rexjeanna"/>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33" name="Subgraph-kzelickso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35" name="Subgraph-newagemea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37" name="Subgraph-justeg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9" name="Subgraph-charlie_runners"/>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41" name="Subgraph-pietersemar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43" name="Subgraph-efwhitton"/>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45" name="Subgraph-sophiajennifer5"/>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7" refreshedBy="Doc Assar" refreshedVersion="7">
  <cacheSource type="worksheet">
    <worksheetSource ref="A2:BN1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m/>
        <s v="cellbased meatinfustry foodtrends meatrends futureoffood"/>
        <s v="invention newinvention newinventions newtech futuretech newtechnology futuretechnology"/>
        <s v="greenative plantbasedmeat cellbasedmeat"/>
        <s v="xprize comogale"/>
        <s v="cultivatedmeat"/>
        <s v="mytwitteranniversary"/>
        <s v="foodpoll food alternativeprotien"/>
        <s v="3dprinting"/>
        <s v="labmeat labmeat"/>
        <s v="hongkong cellbased"/>
        <s v="ashtonkutcher slaughterfree"/>
        <s v="3dprinting additivemanufacturing"/>
        <s v="vegan plantbased vegano veganism"/>
        <s v="cellbasedmeat"/>
        <s v="nutrition cellbasedmeat agriculture foodtech culturedmeat sustainability"/>
        <s v="foodtech startup southafrica nutrition foodsecurity cellbased meat"/>
        <s v="cellbasedmeat cellag futureoffood"/>
        <s v="futureoffood highersteaks cellag cellbasedmeat"/>
        <s v="cellbasedmeat innovation"/>
        <s v="yesorn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21-10-04T13:39:03.000"/>
        <d v="2021-10-04T15:30:10.000"/>
        <d v="2021-10-04T15:59:37.000"/>
        <d v="2021-10-04T16:22:03.000"/>
        <d v="2021-10-04T18:02:07.000"/>
        <d v="2021-10-01T16:19:29.000"/>
        <d v="2021-10-04T18:27:23.000"/>
        <d v="2021-10-04T18:43:02.000"/>
        <d v="2021-10-04T19:24:45.000"/>
        <d v="2021-10-04T23:59:45.000"/>
        <d v="2021-10-05T15:12:35.000"/>
        <d v="2021-10-05T18:30:04.000"/>
        <d v="2021-10-05T19:02:21.000"/>
        <d v="2021-10-05T21:24:52.000"/>
        <d v="2021-10-05T21:26:55.000"/>
        <d v="2021-10-06T03:24:47.000"/>
        <d v="2021-10-05T08:30:56.000"/>
        <d v="2021-10-06T03:53:34.000"/>
        <d v="2021-10-06T10:12:27.000"/>
        <d v="2021-10-06T11:30:36.000"/>
        <d v="2021-10-06T13:05:00.000"/>
        <d v="2021-10-06T15:52:21.000"/>
        <d v="2021-10-06T15:52:10.000"/>
        <d v="2021-10-06T15:54:47.000"/>
        <d v="2021-10-06T19:05:07.000"/>
        <d v="2021-10-01T15:11:39.000"/>
        <d v="2021-10-05T17:38:16.000"/>
        <d v="2021-10-06T19:35:32.000"/>
        <d v="2021-10-05T19:53:41.000"/>
        <d v="2021-10-07T01:05:40.000"/>
        <d v="2021-10-07T08:10:53.000"/>
        <d v="2021-10-07T10:00:38.000"/>
        <d v="2021-10-07T10:01:07.000"/>
        <d v="2021-10-07T10:03:34.000"/>
        <d v="2021-10-07T10:04:10.000"/>
        <d v="2021-10-07T10:12:19.000"/>
        <d v="2021-10-07T10:33:32.000"/>
        <d v="2021-10-07T10:57:32.000"/>
        <d v="2021-09-28T13:00:50.000"/>
        <d v="2021-10-07T11:42:35.000"/>
        <d v="2021-10-07T11:52:52.000"/>
        <d v="2021-10-07T13:02:10.000"/>
        <d v="2021-10-07T19:10:09.000"/>
        <d v="2021-10-07T21:39:23.000"/>
        <d v="2021-10-07T23:45:58.000"/>
        <d v="2021-10-08T01:19:44.000"/>
        <d v="2021-10-08T04:01:30.000"/>
        <d v="2021-10-08T13:27:19.000"/>
        <d v="2021-10-08T13:34:29.000"/>
        <d v="2021-10-08T14:14:54.000"/>
        <d v="2021-10-08T13:30:18.000"/>
        <d v="2021-10-08T16:44:38.000"/>
        <d v="2021-10-08T18:27:19.000"/>
        <d v="2021-10-08T19:23:14.000"/>
        <d v="2021-10-08T19:26:56.000"/>
        <d v="2021-10-08T19:40:34.000"/>
        <d v="2021-10-08T19:49:04.000"/>
        <d v="2021-10-08T19:48:04.000"/>
        <d v="2021-10-08T19:49:06.000"/>
        <d v="2021-10-08T21:18:03.000"/>
        <d v="2021-10-09T00:02:12.000"/>
        <d v="2021-10-09T02:28:31.000"/>
        <d v="2021-10-09T03:28:44.000"/>
        <d v="2021-10-09T04:00:42.000"/>
        <d v="2021-10-09T04:08:41.000"/>
        <d v="2021-10-09T04:11:26.000"/>
        <d v="2021-10-09T04:19:46.000"/>
        <d v="2021-10-09T04:27:31.000"/>
        <d v="2021-10-07T10:38:23.000"/>
        <d v="2021-10-09T04:43:55.000"/>
        <d v="2021-10-09T04:58:23.000"/>
        <d v="2021-10-09T07:44:49.000"/>
        <d v="2021-10-09T08:05:41.000"/>
        <d v="2021-10-09T16:37:00.000"/>
        <d v="2021-10-09T19:16:45.000"/>
        <d v="2021-10-09T19:24:15.000"/>
        <d v="2021-10-09T23:03:32.000"/>
        <d v="2021-10-09T03:21:30.000"/>
        <d v="2021-10-10T05:23:47.000"/>
        <d v="2021-10-10T06:03:26.000"/>
        <d v="2021-10-10T06:29:52.000"/>
        <d v="2021-10-10T06:42:19.000"/>
        <d v="2021-10-10T07:04:09.000"/>
        <d v="2021-10-10T07:04:23.000"/>
        <d v="2021-10-09T22:11:44.000"/>
        <d v="2021-10-10T11:12:01.000"/>
        <d v="2021-10-10T13:00:00.000"/>
        <d v="2021-10-07T06:09:32.000"/>
        <d v="2021-10-07T06:46:00.000"/>
        <d v="2021-10-07T06:47:07.000"/>
        <d v="2021-10-07T06:47:37.000"/>
        <d v="2021-10-10T13:17:16.000"/>
        <d v="2021-10-10T13:59:39.000"/>
        <d v="2021-10-10T16:30:17.000"/>
        <d v="2021-10-10T12:40:46.000"/>
        <d v="2021-10-10T17:56:44.000"/>
        <d v="2021-10-10T19:26:22.000"/>
        <d v="2021-09-29T20:02:41.000"/>
        <d v="2021-10-10T19:27:19.000"/>
        <d v="2021-10-07T10:01:03.000"/>
        <d v="2021-10-09T04:01:02.000"/>
        <d v="2021-10-11T04:01:03.000"/>
        <d v="2021-10-11T04:01:32.000"/>
        <d v="2021-10-11T04:02:52.000"/>
        <d v="2021-10-07T10:01:27.000"/>
        <d v="2021-10-09T04:22:12.000"/>
        <d v="2021-10-11T04:11:42.000"/>
        <d v="2021-10-11T04:17:55.000"/>
        <d v="2021-10-11T04:21:17.000"/>
        <d v="2021-10-11T04:31:04.000"/>
        <d v="2021-10-09T00:00:00.000"/>
        <d v="2021-10-11T04:43:59.000"/>
        <d v="2021-10-11T05:16:10.000"/>
        <d v="2021-10-07T10:00:20.000"/>
        <d v="2021-10-11T08:01:03.000"/>
        <d v="2021-10-08T11:15:03.000"/>
        <d v="2021-10-06T08:03:01.000"/>
        <d v="2021-10-07T08:03:07.000"/>
        <d v="2021-10-08T08:03:06.000"/>
        <d v="2021-10-09T08:03:04.000"/>
        <d v="2021-10-10T08:03:04.000"/>
        <d v="2021-10-11T08:03:06.000"/>
        <d v="2021-10-06T08:04:58.000"/>
        <d v="2021-10-07T08:03:16.000"/>
        <d v="2021-10-08T08:04:15.000"/>
        <d v="2021-10-09T08:05:29.000"/>
        <d v="2021-10-10T08:04:09.000"/>
        <d v="2021-10-11T08:05:27.000"/>
        <d v="2021-10-07T08:28:50.000"/>
        <d v="2021-10-08T08:29:49.000"/>
        <d v="2021-10-08T08:30:08.000"/>
        <d v="2021-10-10T08:29:23.000"/>
        <d v="2021-10-10T08:29:52.000"/>
        <d v="2021-10-11T08:28:50.000"/>
        <d v="2021-10-07T23:31:15.000"/>
        <d v="2021-10-09T04:30:35.000"/>
        <d v="2021-10-11T04:28:50.000"/>
        <d v="2021-10-11T08:36:53.000"/>
        <d v="2021-10-11T09:02:09.000"/>
        <d v="2021-10-11T09:11:16.000"/>
        <d v="2021-10-11T12:38:53.000"/>
        <d v="2021-10-11T15:43:54.000"/>
        <d v="2021-10-11T15:46:58.000"/>
        <d v="2021-10-05T23:01:40.000"/>
        <d v="2021-10-07T10:00:15.000"/>
        <d v="2021-10-09T04:00:09.000"/>
        <d v="2021-10-11T04:00:02.000"/>
        <d v="2021-10-06T23:01:07.000"/>
        <d v="2021-10-07T23:01:04.000"/>
        <d v="2021-10-08T23:01:03.000"/>
        <d v="2021-10-09T23:01:07.000"/>
        <d v="2021-10-10T23:01:06.000"/>
        <d v="2021-10-11T23:01:05.000"/>
        <d v="2021-10-12T04:00:32.000"/>
        <d v="2021-10-12T04:53:11.000"/>
        <d v="2021-10-12T09:32:48.000"/>
        <d v="2021-10-06T16:21:55.000"/>
        <d v="2021-10-06T16:50:58.000"/>
        <d v="2021-10-06T13:38:12.000"/>
        <d v="2021-10-07T02:13:11.000"/>
        <d v="2021-10-05T00:57:52.000"/>
        <d v="2021-10-07T04:05:50.000"/>
        <d v="2021-10-07T04:26:56.000"/>
        <d v="2021-10-10T04:34:12.000"/>
        <d v="2021-10-08T01:18:37.000"/>
        <d v="2021-10-08T01:36:29.000"/>
        <d v="2021-10-06T14:08:16.000"/>
        <d v="2021-10-08T16:01:31.000"/>
        <d v="2021-10-08T16:30:24.000"/>
        <d v="2021-10-12T04:01:00.000"/>
        <d v="2021-10-12T11:17:53.000"/>
        <d v="2021-10-07T20:18:24.000"/>
        <d v="2021-10-12T11:46:05.000"/>
        <d v="2021-10-12T14:32:01.000"/>
        <d v="2021-10-12T14:35:50.000"/>
        <d v="2021-10-12T14:42:12.000"/>
        <d v="2021-10-12T15:45:07.000"/>
        <d v="2021-10-12T17:38:40.000"/>
        <d v="2021-10-11T23:30:54.000"/>
        <d v="2021-10-12T17:39:16.000"/>
        <d v="2021-10-11T09:00:27.000"/>
        <d v="2021-10-09T17:12:00.000"/>
        <d v="2021-10-11T20:34:00.000"/>
        <d v="2021-10-12T19:51:02.000"/>
        <d v="2021-10-07T17:30:30.000"/>
        <d v="2021-10-12T14:30:25.000"/>
        <d v="2021-10-12T21:40:01.000"/>
      </sharedItems>
      <fieldGroup par="68" base="22">
        <rangePr groupBy="hours" autoEnd="1" autoStart="1" startDate="2021-09-28T13:00:50.000" endDate="2021-10-12T21:40:01.000"/>
        <groupItems count="26">
          <s v="&lt;9/28/2021"/>
          <s v="12 AM"/>
          <s v="1 AM"/>
          <s v="2 AM"/>
          <s v="3 AM"/>
          <s v="4 AM"/>
          <s v="5 AM"/>
          <s v="6 AM"/>
          <s v="7 AM"/>
          <s v="8 AM"/>
          <s v="9 AM"/>
          <s v="10 AM"/>
          <s v="11 AM"/>
          <s v="12 PM"/>
          <s v="1 PM"/>
          <s v="2 PM"/>
          <s v="3 PM"/>
          <s v="4 PM"/>
          <s v="5 PM"/>
          <s v="6 PM"/>
          <s v="7 PM"/>
          <s v="8 PM"/>
          <s v="9 PM"/>
          <s v="10 PM"/>
          <s v="11 PM"/>
          <s v="&gt;10/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8T13:00:50.000" endDate="2021-10-12T21:40:01.000"/>
        <groupItems count="368">
          <s v="&lt;9/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1"/>
        </groupItems>
      </fieldGroup>
    </cacheField>
    <cacheField name="Months" databaseField="0">
      <sharedItems containsMixedTypes="0" count="0"/>
      <fieldGroup base="22">
        <rangePr groupBy="months" autoEnd="1" autoStart="1" startDate="2021-09-28T13:00:50.000" endDate="2021-10-12T21:40:01.000"/>
        <groupItems count="14">
          <s v="&lt;9/28/2021"/>
          <s v="Jan"/>
          <s v="Feb"/>
          <s v="Mar"/>
          <s v="Apr"/>
          <s v="May"/>
          <s v="Jun"/>
          <s v="Jul"/>
          <s v="Aug"/>
          <s v="Sep"/>
          <s v="Oct"/>
          <s v="Nov"/>
          <s v="Dec"/>
          <s v="&gt;10/12/2021"/>
        </groupItems>
      </fieldGroup>
    </cacheField>
    <cacheField name="Years" databaseField="0">
      <sharedItems containsMixedTypes="0" count="0"/>
      <fieldGroup base="22">
        <rangePr groupBy="years" autoEnd="1" autoStart="1" startDate="2021-09-28T13:00:50.000" endDate="2021-10-12T21:40:01.000"/>
        <groupItems count="3">
          <s v="&lt;9/28/2021"/>
          <s v="2021"/>
          <s v="&gt;10/12/2021"/>
        </groupItems>
      </fieldGroup>
    </cacheField>
  </cacheFields>
  <extLst>
    <ext xmlns:x14="http://schemas.microsoft.com/office/spreadsheetml/2009/9/main" uri="{725AE2AE-9491-48be-B2B4-4EB974FC3084}">
      <x14:pivotCacheDefinition pivotCacheId="1194584123"/>
    </ext>
  </extLst>
</pivotCacheDefinition>
</file>

<file path=xl/pivotCache/pivotCacheRecords1.xml><?xml version="1.0" encoding="utf-8"?>
<pivotCacheRecords xmlns="http://schemas.openxmlformats.org/spreadsheetml/2006/main" xmlns:r="http://schemas.openxmlformats.org/officeDocument/2006/relationships" count="187">
  <r>
    <s v="sallypwynn"/>
    <s v="sallypwynn"/>
    <m/>
    <m/>
    <m/>
    <m/>
    <m/>
    <m/>
    <m/>
    <m/>
    <s v="No"/>
    <n v="3"/>
    <m/>
    <m/>
    <x v="0"/>
    <d v="2021-10-04T13:39:03.000"/>
    <s v="Cell-Cultured Meat Could Hit Grocery Stores In Next 5 Years, Predicts Expert - Plant Based News https://t.co/Q4O9f7KcyL"/>
    <s v="https://plantbasednews.org/lifestyle/food/cell-cultured-meat-could-hit-grocery-stores-in-next-5-years-predicts-expert/"/>
    <s v="plantbasednews.org"/>
    <x v="0"/>
    <m/>
    <s v="https://abs.twimg.com/sticky/default_profile_images/default_profile_normal.png"/>
    <x v="0"/>
    <d v="2021-10-04T00:00:00.000"/>
    <s v="13:39:03"/>
    <s v="https://twitter.com/sallypwynn/status/1445020643179778057"/>
    <m/>
    <m/>
    <s v="1445020643179778057"/>
    <m/>
    <b v="0"/>
    <n v="0"/>
    <s v=""/>
    <b v="0"/>
    <s v="en"/>
    <m/>
    <s v=""/>
    <b v="0"/>
    <n v="0"/>
    <s v=""/>
    <s v="Twitter for Android"/>
    <b v="0"/>
    <s v="1445020643179778057"/>
    <s v="Tweet"/>
    <n v="0"/>
    <n v="0"/>
    <m/>
    <m/>
    <m/>
    <m/>
    <m/>
    <m/>
    <m/>
    <m/>
    <n v="1"/>
    <s v="2"/>
    <s v="2"/>
    <n v="0"/>
    <n v="0"/>
    <n v="0"/>
    <n v="0"/>
    <n v="0"/>
    <n v="0"/>
    <n v="16"/>
    <n v="100"/>
    <n v="16"/>
  </r>
  <r>
    <s v="plantfinance"/>
    <s v="oupeconomics"/>
    <m/>
    <m/>
    <m/>
    <m/>
    <m/>
    <m/>
    <m/>
    <m/>
    <s v="No"/>
    <n v="4"/>
    <m/>
    <m/>
    <x v="1"/>
    <d v="2021-10-04T15:30:10.000"/>
    <s v="Momentum For Cultured Meat:_x000a__x000a_A new report from @OUPEconomics unveiled that cell-based meat will make up 9 to 12 percent of consumer demand for meat in 2030 and projected that cultured meat sales will exceed $100B by 2040. _x000a__x000a_Lab based meat is the future."/>
    <m/>
    <m/>
    <x v="0"/>
    <m/>
    <s v="https://pbs.twimg.com/profile_images/1336341461307047936/cVJ9-DD6_normal.jpg"/>
    <x v="1"/>
    <d v="2021-10-04T00:00:00.000"/>
    <s v="15:30:10"/>
    <s v="https://twitter.com/plantfinance/status/1445048608781340678"/>
    <m/>
    <m/>
    <s v="1445048608781340678"/>
    <m/>
    <b v="0"/>
    <n v="1"/>
    <s v=""/>
    <b v="0"/>
    <s v="en"/>
    <m/>
    <s v=""/>
    <b v="0"/>
    <n v="1"/>
    <s v=""/>
    <s v="Twitter Web App"/>
    <b v="0"/>
    <s v="1445048608781340678"/>
    <s v="Tweet"/>
    <n v="0"/>
    <n v="0"/>
    <m/>
    <m/>
    <m/>
    <m/>
    <m/>
    <m/>
    <m/>
    <m/>
    <n v="1"/>
    <s v="16"/>
    <s v="16"/>
    <n v="1"/>
    <n v="2.2222222222222223"/>
    <n v="0"/>
    <n v="0"/>
    <n v="0"/>
    <n v="0"/>
    <n v="44"/>
    <n v="97.77777777777777"/>
    <n v="45"/>
  </r>
  <r>
    <s v="jeremyszafron"/>
    <s v="oupeconomics"/>
    <m/>
    <m/>
    <m/>
    <m/>
    <m/>
    <m/>
    <m/>
    <m/>
    <s v="No"/>
    <n v="5"/>
    <m/>
    <m/>
    <x v="2"/>
    <d v="2021-10-04T15:59:37.000"/>
    <s v="Momentum For Cultured Meat:_x000a__x000a_A new report from @OUPEconomics unveiled that cell-based meat will make up 9 to 12 percent of consumer demand for meat in 2030 and projected that cultured meat sales will exceed $100B by 2040. _x000a__x000a_Lab based meat is the future."/>
    <m/>
    <m/>
    <x v="0"/>
    <m/>
    <s v="https://pbs.twimg.com/profile_images/648533275934261248/Qv9_WLuZ_normal.jpg"/>
    <x v="2"/>
    <d v="2021-10-04T00:00:00.000"/>
    <s v="15:59:37"/>
    <s v="https://twitter.com/jeremyszafron/status/1445056021060194307"/>
    <m/>
    <m/>
    <s v="1445056021060194307"/>
    <m/>
    <b v="0"/>
    <n v="0"/>
    <s v=""/>
    <b v="0"/>
    <s v="en"/>
    <m/>
    <s v=""/>
    <b v="0"/>
    <n v="1"/>
    <s v="1445048608781340678"/>
    <s v="Twitter Web App"/>
    <b v="0"/>
    <s v="1445048608781340678"/>
    <s v="Tweet"/>
    <n v="0"/>
    <n v="0"/>
    <m/>
    <m/>
    <m/>
    <m/>
    <m/>
    <m/>
    <m/>
    <m/>
    <n v="1"/>
    <s v="16"/>
    <s v="16"/>
    <m/>
    <m/>
    <m/>
    <m/>
    <m/>
    <m/>
    <m/>
    <m/>
    <m/>
  </r>
  <r>
    <s v="michelersimon"/>
    <s v="freewheal"/>
    <m/>
    <m/>
    <m/>
    <m/>
    <m/>
    <m/>
    <m/>
    <m/>
    <s v="No"/>
    <n v="7"/>
    <m/>
    <m/>
    <x v="3"/>
    <d v="2021-10-04T16:22:03.000"/>
    <s v="@Freewheal Do you know why mung bean would be added to biotech aka cell-based chicken? &quot;Currently, only 70 percent of Eat Just’s Singapore chicken product consists of lab meat.&quot; https://t.co/NjKfBLhOsX"/>
    <s v="https://www.motherjones.com/food/2021/08/is-lab-meat-about-to-hit-your-dinner-plate/"/>
    <s v="motherjones.com"/>
    <x v="0"/>
    <m/>
    <s v="https://pbs.twimg.com/profile_images/1440117577603108868/mjjvO7pt_normal.jpg"/>
    <x v="3"/>
    <d v="2021-10-04T00:00:00.000"/>
    <s v="16:22:03"/>
    <s v="https://twitter.com/michelersimon/status/1445061663049224198"/>
    <m/>
    <m/>
    <s v="1445061663049224198"/>
    <s v="1444373593564057602"/>
    <b v="0"/>
    <n v="1"/>
    <s v="2186655437"/>
    <b v="0"/>
    <s v="en"/>
    <m/>
    <s v=""/>
    <b v="0"/>
    <n v="0"/>
    <s v=""/>
    <s v="Twitter Web App"/>
    <b v="0"/>
    <s v="1444373593564057602"/>
    <s v="Tweet"/>
    <n v="0"/>
    <n v="0"/>
    <m/>
    <m/>
    <m/>
    <m/>
    <m/>
    <m/>
    <m/>
    <m/>
    <n v="1"/>
    <s v="28"/>
    <s v="28"/>
    <n v="0"/>
    <n v="0"/>
    <n v="0"/>
    <n v="0"/>
    <n v="0"/>
    <n v="0"/>
    <n v="31"/>
    <n v="100"/>
    <n v="31"/>
  </r>
  <r>
    <s v="foodpreneurscom"/>
    <s v="goodfoodinst"/>
    <m/>
    <m/>
    <m/>
    <m/>
    <m/>
    <m/>
    <m/>
    <m/>
    <s v="No"/>
    <n v="8"/>
    <m/>
    <m/>
    <x v="1"/>
    <d v="2021-10-04T18:02:07.000"/>
    <s v="The term &quot;cultivated meat&quot; seems to be the most popular nomenclature nowadays when compared to other terms such as &quot;cultured&quot; or &quot;cell-based&quot;. 🤔 What's your opinion on this? @GoodFoodInst _x000a_ https://t.co/sZZ3OApVFm"/>
    <s v="https://gfi.org/blog/cultivated-meat-a-growing-nomenclature-consensus/"/>
    <s v="gfi.org"/>
    <x v="0"/>
    <m/>
    <s v="https://pbs.twimg.com/profile_images/1438764765548093442/1FYO4i0I_normal.jpg"/>
    <x v="4"/>
    <d v="2021-10-04T00:00:00.000"/>
    <s v="18:02:07"/>
    <s v="https://twitter.com/foodpreneurscom/status/1445086845944090627"/>
    <m/>
    <m/>
    <s v="1445086845944090627"/>
    <m/>
    <b v="0"/>
    <n v="0"/>
    <s v=""/>
    <b v="0"/>
    <s v="en"/>
    <m/>
    <s v=""/>
    <b v="0"/>
    <n v="0"/>
    <s v=""/>
    <s v="Metricool"/>
    <b v="0"/>
    <s v="1445086845944090627"/>
    <s v="Tweet"/>
    <n v="0"/>
    <n v="0"/>
    <m/>
    <m/>
    <m/>
    <m/>
    <m/>
    <m/>
    <m/>
    <m/>
    <n v="1"/>
    <s v="5"/>
    <s v="5"/>
    <n v="1"/>
    <n v="3.4482758620689653"/>
    <n v="0"/>
    <n v="0"/>
    <n v="0"/>
    <n v="0"/>
    <n v="28"/>
    <n v="96.55172413793103"/>
    <n v="29"/>
  </r>
  <r>
    <s v="meganpoinski"/>
    <s v="goodfoodinst"/>
    <m/>
    <m/>
    <m/>
    <m/>
    <m/>
    <m/>
    <m/>
    <m/>
    <s v="No"/>
    <n v="9"/>
    <m/>
    <m/>
    <x v="1"/>
    <d v="2021-10-01T16:19:29.000"/>
    <s v="75% of companies making meat from cells say &quot;cultivated meat&quot; is the preferred term for their product,  according to a poll from the @GoodFoodInst https://t.co/27m1luSqkL"/>
    <s v="https://www.fooddive.com/news/75-of-cell-based-meat-companies-prefer-the-term-cultivated-for-their-pro/607500/"/>
    <s v="fooddive.com"/>
    <x v="0"/>
    <m/>
    <s v="https://pbs.twimg.com/profile_images/728252706851147776/3hDM_UHX_normal.jpg"/>
    <x v="5"/>
    <d v="2021-10-01T00:00:00.000"/>
    <s v="16:19:29"/>
    <s v="https://twitter.com/meganpoinski/status/1443973856335732757"/>
    <m/>
    <m/>
    <s v="1443973856335732757"/>
    <m/>
    <b v="0"/>
    <n v="15"/>
    <s v=""/>
    <b v="0"/>
    <s v="en"/>
    <m/>
    <s v=""/>
    <b v="0"/>
    <n v="6"/>
    <s v=""/>
    <s v="Twitter Web App"/>
    <b v="0"/>
    <s v="1443973856335732757"/>
    <s v="Retweet"/>
    <n v="0"/>
    <n v="0"/>
    <m/>
    <m/>
    <m/>
    <m/>
    <m/>
    <m/>
    <m/>
    <m/>
    <n v="1"/>
    <s v="5"/>
    <s v="5"/>
    <n v="0"/>
    <n v="0"/>
    <n v="0"/>
    <n v="0"/>
    <n v="0"/>
    <n v="0"/>
    <n v="24"/>
    <n v="100"/>
    <n v="24"/>
  </r>
  <r>
    <s v="welllibrarian"/>
    <s v="meganpoinski"/>
    <m/>
    <m/>
    <m/>
    <m/>
    <m/>
    <m/>
    <m/>
    <m/>
    <s v="No"/>
    <n v="10"/>
    <m/>
    <m/>
    <x v="4"/>
    <d v="2021-10-04T18:27:23.000"/>
    <s v="75% of companies making meat from cells say &quot;cultivated meat&quot; is the preferred term for their product,  according to a poll from the @GoodFoodInst https://t.co/27m1luSqkL"/>
    <s v="https://www.fooddive.com/news/75-of-cell-based-meat-companies-prefer-the-term-cultivated-for-their-pro/607500/"/>
    <s v="fooddive.com"/>
    <x v="0"/>
    <m/>
    <s v="https://pbs.twimg.com/profile_images/1427725871834566662/N7pMCmBv_normal.jpg"/>
    <x v="6"/>
    <d v="2021-10-04T00:00:00.000"/>
    <s v="18:27:23"/>
    <s v="https://twitter.com/welllibrarian/status/1445093207499362312"/>
    <m/>
    <m/>
    <s v="1445093207499362312"/>
    <m/>
    <b v="0"/>
    <n v="0"/>
    <s v=""/>
    <b v="0"/>
    <s v="en"/>
    <m/>
    <s v=""/>
    <b v="0"/>
    <n v="6"/>
    <s v="1443973856335732757"/>
    <s v="Twitter Web App"/>
    <b v="0"/>
    <s v="1443973856335732757"/>
    <s v="Tweet"/>
    <n v="0"/>
    <n v="0"/>
    <m/>
    <m/>
    <m/>
    <m/>
    <m/>
    <m/>
    <m/>
    <m/>
    <n v="1"/>
    <s v="5"/>
    <s v="5"/>
    <m/>
    <m/>
    <m/>
    <m/>
    <m/>
    <m/>
    <m/>
    <m/>
    <m/>
  </r>
  <r>
    <s v="meatpoultry"/>
    <s v="meatpoultry"/>
    <m/>
    <m/>
    <m/>
    <m/>
    <m/>
    <m/>
    <m/>
    <m/>
    <s v="No"/>
    <n v="12"/>
    <m/>
    <m/>
    <x v="0"/>
    <d v="2021-10-04T18:43:02.000"/>
    <s v="From the Daily ➡️ Startups are serious about cell-based meat production. But challenges lie ahead._x000a_https://t.co/APbwwzI0BI"/>
    <s v="https://www.meatpoultry.com/articles/25595-crowding-on-the-cell-based-bandwagon"/>
    <s v="meatpoultry.com"/>
    <x v="0"/>
    <m/>
    <s v="https://pbs.twimg.com/profile_images/555855373924442112/9snXes6N_normal.jpeg"/>
    <x v="7"/>
    <d v="2021-10-04T00:00:00.000"/>
    <s v="18:43:02"/>
    <s v="https://twitter.com/meatpoultry/status/1445097144151597060"/>
    <m/>
    <m/>
    <s v="1445097144151597060"/>
    <m/>
    <b v="0"/>
    <n v="0"/>
    <s v=""/>
    <b v="0"/>
    <s v="en"/>
    <m/>
    <s v=""/>
    <b v="0"/>
    <n v="0"/>
    <s v=""/>
    <s v="Twitter Web App"/>
    <b v="0"/>
    <s v="1445097144151597060"/>
    <s v="Tweet"/>
    <n v="0"/>
    <n v="0"/>
    <m/>
    <m/>
    <m/>
    <m/>
    <m/>
    <m/>
    <m/>
    <m/>
    <n v="1"/>
    <s v="2"/>
    <s v="2"/>
    <n v="0"/>
    <n v="0"/>
    <n v="1"/>
    <n v="6.666666666666667"/>
    <n v="0"/>
    <n v="0"/>
    <n v="14"/>
    <n v="93.33333333333333"/>
    <n v="15"/>
  </r>
  <r>
    <s v="b1allpurpose"/>
    <s v="b1allpurpose"/>
    <m/>
    <m/>
    <m/>
    <m/>
    <m/>
    <m/>
    <m/>
    <m/>
    <s v="No"/>
    <n v="13"/>
    <m/>
    <m/>
    <x v="0"/>
    <d v="2021-10-04T19:24:45.000"/>
    <s v="&quot;Can We Enjoy Meat and Seafood and Save the Planet?&quot; ...sort of.  Absolutely nothing wrong with whole foods.  Eating this as a treat, okay.  Bring it on. https://t.co/Th5tYkjmmj"/>
    <s v="https://www.ecowatch.com/cell-based-food-climate-change-2649951865.html"/>
    <s v="ecowatch.com"/>
    <x v="0"/>
    <m/>
    <s v="https://pbs.twimg.com/profile_images/1363238813808533505/lbI9GNLD_normal.jpg"/>
    <x v="8"/>
    <d v="2021-10-04T00:00:00.000"/>
    <s v="19:24:45"/>
    <s v="https://twitter.com/b1allpurpose/status/1445107644310568978"/>
    <m/>
    <m/>
    <s v="1445107644310568978"/>
    <m/>
    <b v="0"/>
    <n v="0"/>
    <s v=""/>
    <b v="0"/>
    <s v="en"/>
    <m/>
    <s v=""/>
    <b v="0"/>
    <n v="0"/>
    <s v=""/>
    <s v="Twitter Web App"/>
    <b v="0"/>
    <s v="1445107644310568978"/>
    <s v="Tweet"/>
    <n v="0"/>
    <n v="0"/>
    <m/>
    <m/>
    <m/>
    <m/>
    <m/>
    <m/>
    <m/>
    <m/>
    <n v="1"/>
    <s v="2"/>
    <s v="2"/>
    <n v="1"/>
    <n v="3.7037037037037037"/>
    <n v="1"/>
    <n v="3.7037037037037037"/>
    <n v="0"/>
    <n v="0"/>
    <n v="25"/>
    <n v="92.5925925925926"/>
    <n v="27"/>
  </r>
  <r>
    <s v="joshuamarch"/>
    <s v="joshuamarch"/>
    <m/>
    <m/>
    <m/>
    <m/>
    <m/>
    <m/>
    <m/>
    <m/>
    <s v="No"/>
    <n v="14"/>
    <m/>
    <m/>
    <x v="0"/>
    <d v="2021-10-04T23:59:45.000"/>
    <s v="Finally the cultivated meat industry starting to come together around the label 'cultivated'. Historically everyone has used different language, which is why journalists are still calling it 'lab grown meat'—which is incorrect, and damaging https://t.co/sF2S9vGVH9"/>
    <s v="https://www.fooddive.com/news/75-of-cell-based-meat-companies-prefer-the-term-cultivated-for-their-pro/607500/"/>
    <s v="fooddive.com"/>
    <x v="0"/>
    <m/>
    <s v="https://pbs.twimg.com/profile_images/1099032399181217799/vPCULVTS_normal.png"/>
    <x v="9"/>
    <d v="2021-10-04T00:00:00.000"/>
    <s v="23:59:45"/>
    <s v="https://twitter.com/joshuamarch/status/1445176849340911617"/>
    <m/>
    <m/>
    <s v="1445176849340911617"/>
    <m/>
    <b v="0"/>
    <n v="6"/>
    <s v=""/>
    <b v="0"/>
    <s v="en"/>
    <m/>
    <s v=""/>
    <b v="0"/>
    <n v="0"/>
    <s v=""/>
    <s v="Twitter Web App"/>
    <b v="0"/>
    <s v="1445176849340911617"/>
    <s v="Tweet"/>
    <n v="0"/>
    <n v="0"/>
    <m/>
    <m/>
    <m/>
    <m/>
    <m/>
    <m/>
    <m/>
    <m/>
    <n v="1"/>
    <s v="2"/>
    <s v="2"/>
    <n v="0"/>
    <n v="0"/>
    <n v="2"/>
    <n v="5.714285714285714"/>
    <n v="0"/>
    <n v="0"/>
    <n v="33"/>
    <n v="94.28571428571429"/>
    <n v="35"/>
  </r>
  <r>
    <s v="chill_purr"/>
    <s v="barbkiser"/>
    <m/>
    <m/>
    <m/>
    <m/>
    <m/>
    <m/>
    <m/>
    <m/>
    <s v="No"/>
    <n v="15"/>
    <m/>
    <m/>
    <x v="3"/>
    <d v="2021-10-05T15:12:35.000"/>
    <s v="@barbkiser I am not aware of any cell based meat sold in supermarkets at this time but:_x000a_&quot;Singapore production line includes foetal bovine serum ... A plant-based serum would be used in the next production line&quot;_x000a_https://t.co/YgJkXA0jGC"/>
    <s v="https://www.theguardian.com/environment/2020/dec/02/no-kill-lab-grown-meat-to-go-on-sale-for-first-time"/>
    <s v="theguardian.com"/>
    <x v="0"/>
    <m/>
    <s v="https://pbs.twimg.com/profile_images/1402397441979260928/d_CuOnwk_normal.jpg"/>
    <x v="10"/>
    <d v="2021-10-05T00:00:00.000"/>
    <s v="15:12:35"/>
    <s v="https://twitter.com/chill_purr/status/1445406570817413120"/>
    <m/>
    <m/>
    <s v="1445406570817413120"/>
    <s v="1445401647669202957"/>
    <b v="0"/>
    <n v="0"/>
    <s v="23600122"/>
    <b v="0"/>
    <s v="en"/>
    <m/>
    <s v=""/>
    <b v="0"/>
    <n v="0"/>
    <s v=""/>
    <s v="Twitter Web App"/>
    <b v="0"/>
    <s v="1445401647669202957"/>
    <s v="Tweet"/>
    <n v="0"/>
    <n v="0"/>
    <m/>
    <m/>
    <m/>
    <m/>
    <m/>
    <m/>
    <m/>
    <m/>
    <n v="1"/>
    <s v="27"/>
    <s v="27"/>
    <n v="0"/>
    <n v="0"/>
    <n v="0"/>
    <n v="0"/>
    <n v="0"/>
    <n v="0"/>
    <n v="36"/>
    <n v="100"/>
    <n v="36"/>
  </r>
  <r>
    <s v="smperimeter"/>
    <s v="luxresearch"/>
    <m/>
    <m/>
    <m/>
    <m/>
    <m/>
    <m/>
    <m/>
    <m/>
    <s v="No"/>
    <n v="16"/>
    <m/>
    <m/>
    <x v="1"/>
    <d v="2021-10-05T18:30:04.000"/>
    <s v="The #cellbased #meatinfustry industry still faces a major challenge in regulatory approval, according to a new report from @LuxResearch._x000a__x000a_#foodtrends #meatrends #futureoffood_x000a__x000a_https://t.co/7qGtpVKLYT"/>
    <s v="https://www.supermarketperimeter.com/articles/7225-cell-based-meat-start-ups-on-the-rise-while-regulatory-approval-remains-iffy"/>
    <s v="supermarketperimeter.com"/>
    <x v="1"/>
    <m/>
    <s v="https://pbs.twimg.com/profile_images/1234525508643303426/1HEc46Lj_normal.jpg"/>
    <x v="11"/>
    <d v="2021-10-05T00:00:00.000"/>
    <s v="18:30:04"/>
    <s v="https://twitter.com/smperimeter/status/1445456269041537027"/>
    <m/>
    <m/>
    <s v="1445456269041537027"/>
    <m/>
    <b v="0"/>
    <n v="0"/>
    <s v=""/>
    <b v="0"/>
    <s v="en"/>
    <m/>
    <s v=""/>
    <b v="0"/>
    <n v="0"/>
    <s v=""/>
    <s v="Hootsuite Inc."/>
    <b v="0"/>
    <s v="1445456269041537027"/>
    <s v="Tweet"/>
    <n v="0"/>
    <n v="0"/>
    <m/>
    <m/>
    <m/>
    <m/>
    <m/>
    <m/>
    <m/>
    <m/>
    <n v="1"/>
    <s v="26"/>
    <s v="26"/>
    <n v="1"/>
    <n v="4.545454545454546"/>
    <n v="0"/>
    <n v="0"/>
    <n v="0"/>
    <n v="0"/>
    <n v="21"/>
    <n v="95.45454545454545"/>
    <n v="22"/>
  </r>
  <r>
    <s v="asifood"/>
    <s v="asifood"/>
    <m/>
    <m/>
    <m/>
    <m/>
    <m/>
    <m/>
    <m/>
    <m/>
    <s v="No"/>
    <n v="17"/>
    <m/>
    <m/>
    <x v="0"/>
    <d v="2021-10-05T19:02:21.000"/>
    <s v="As new technologies redefine the nature and source of &quot;meat,&quot; the question of how cell-based meat and poultry will be labeled is nearing the rulemaking stage. Consumer input will serve as guidance. https://t.co/r6YeogjtAW"/>
    <m/>
    <m/>
    <x v="0"/>
    <s v="https://pbs.twimg.com/media/FA9SLDXUcAUJS4U.jpg"/>
    <s v="https://pbs.twimg.com/media/FA9SLDXUcAUJS4U.jpg"/>
    <x v="12"/>
    <d v="2021-10-05T00:00:00.000"/>
    <s v="19:02:21"/>
    <s v="https://twitter.com/asifood/status/1445464395379712008"/>
    <m/>
    <m/>
    <s v="1445464395379712008"/>
    <m/>
    <b v="0"/>
    <n v="0"/>
    <s v=""/>
    <b v="0"/>
    <s v="en"/>
    <m/>
    <s v=""/>
    <b v="0"/>
    <n v="0"/>
    <s v=""/>
    <s v="Agorapulse app"/>
    <b v="0"/>
    <s v="1445464395379712008"/>
    <s v="Tweet"/>
    <n v="0"/>
    <n v="0"/>
    <m/>
    <m/>
    <m/>
    <m/>
    <m/>
    <m/>
    <m/>
    <m/>
    <n v="1"/>
    <s v="2"/>
    <s v="2"/>
    <n v="1"/>
    <n v="3.0303030303030303"/>
    <n v="0"/>
    <n v="0"/>
    <n v="0"/>
    <n v="0"/>
    <n v="32"/>
    <n v="96.96969696969697"/>
    <n v="33"/>
  </r>
  <r>
    <s v="sirlambomoon"/>
    <s v="vision4future1"/>
    <m/>
    <m/>
    <m/>
    <m/>
    <m/>
    <m/>
    <m/>
    <m/>
    <s v="No"/>
    <n v="18"/>
    <m/>
    <m/>
    <x v="4"/>
    <d v="2021-10-05T21:24:52.000"/>
    <s v="Lab-Made Dairy Products_x000a_You’ve heard of cultured “meat” and Wagyu steaks grown cell by cell in a laboratory, but what about other animal-based foodstuffs? _x000a_#invention  #newinvention #newinventions #newtech #futuretech #newtechnology #futuretechnology_x000a_https://t.co/UrQy1TlLTl"/>
    <s v="https://vision4thefuture.co/lab-made-dairy-products/"/>
    <s v="vision4thefuture.co"/>
    <x v="2"/>
    <m/>
    <s v="https://pbs.twimg.com/profile_images/1082814916959059969/2QZgsWM9_normal.jpg"/>
    <x v="13"/>
    <d v="2021-10-05T00:00:00.000"/>
    <s v="21:24:52"/>
    <s v="https://twitter.com/sirlambomoon/status/1445500259019341830"/>
    <m/>
    <m/>
    <s v="1445500259019341830"/>
    <m/>
    <b v="0"/>
    <n v="0"/>
    <s v=""/>
    <b v="0"/>
    <s v="en"/>
    <m/>
    <s v=""/>
    <b v="0"/>
    <n v="39"/>
    <s v="1443305248240676866"/>
    <s v="Twitter Web App"/>
    <b v="0"/>
    <s v="1443305248240676866"/>
    <s v="Tweet"/>
    <n v="0"/>
    <n v="0"/>
    <m/>
    <m/>
    <m/>
    <m/>
    <m/>
    <m/>
    <m/>
    <m/>
    <n v="1"/>
    <s v="7"/>
    <s v="7"/>
    <n v="0"/>
    <n v="0"/>
    <n v="0"/>
    <n v="0"/>
    <n v="0"/>
    <n v="0"/>
    <n v="34"/>
    <n v="100"/>
    <n v="34"/>
  </r>
  <r>
    <s v="whatisayisnt"/>
    <s v="vision4future1"/>
    <m/>
    <m/>
    <m/>
    <m/>
    <m/>
    <m/>
    <m/>
    <m/>
    <s v="No"/>
    <n v="19"/>
    <m/>
    <m/>
    <x v="4"/>
    <d v="2021-10-05T21:26:55.000"/>
    <s v="Lab-Made Dairy Products_x000a_You’ve heard of cultured “meat” and Wagyu steaks grown cell by cell in a laboratory, but what about other animal-based foodstuffs? _x000a_#invention  #newinvention #newinventions #newtech #futuretech #newtechnology #futuretechnology_x000a_https://t.co/UrQy1TlLTl"/>
    <s v="https://vision4thefuture.co/lab-made-dairy-products/"/>
    <s v="vision4thefuture.co"/>
    <x v="2"/>
    <m/>
    <s v="https://pbs.twimg.com/profile_images/1293599208209965056/wX7mfnMX_normal.jpg"/>
    <x v="14"/>
    <d v="2021-10-05T00:00:00.000"/>
    <s v="21:26:55"/>
    <s v="https://twitter.com/whatisayisnt/status/1445500773677240320"/>
    <m/>
    <m/>
    <s v="1445500773677240320"/>
    <m/>
    <b v="0"/>
    <n v="0"/>
    <s v=""/>
    <b v="0"/>
    <s v="en"/>
    <m/>
    <s v=""/>
    <b v="0"/>
    <n v="39"/>
    <s v="1443305248240676866"/>
    <s v="Twitter Web App"/>
    <b v="0"/>
    <s v="1443305248240676866"/>
    <s v="Tweet"/>
    <n v="0"/>
    <n v="0"/>
    <m/>
    <m/>
    <m/>
    <m/>
    <m/>
    <m/>
    <m/>
    <m/>
    <n v="1"/>
    <s v="7"/>
    <s v="7"/>
    <n v="0"/>
    <n v="0"/>
    <n v="0"/>
    <n v="0"/>
    <n v="0"/>
    <n v="0"/>
    <n v="34"/>
    <n v="100"/>
    <n v="34"/>
  </r>
  <r>
    <s v="greenative_co"/>
    <s v="greenative_co"/>
    <m/>
    <m/>
    <m/>
    <m/>
    <m/>
    <m/>
    <m/>
    <m/>
    <s v="No"/>
    <n v="20"/>
    <m/>
    <m/>
    <x v="0"/>
    <d v="2021-10-06T03:24:47.000"/>
    <s v="เปรียบเทียบความเหมือน ความต่าง จุดเด่นและจุดด้อยของ เนื้อจากพืช (Plant-based Meat) และเนื้อสังเคราะห์ (Cell-based Meat) ว่าที่โปรตีนทางเลือกแห่งอนาคต ที่อาจกลายเป็นคำตอบของความยั่งยืนทางอาหาร_x000a__x000a_#Greenative_x000a_#PlantBasedMeat_x000a_#CellBasedMeat_x000a__x000a_อ่านเพิ่มเติมที่ https://t.co/wB9bRoigdW https://t.co/hawb9oDP0h"/>
    <s v="https://facebook.com/170838427821860/posts/373108070928227/?d=n"/>
    <s v="facebook.com"/>
    <x v="3"/>
    <s v="https://pbs.twimg.com/media/FA_FMk6UYAcGEe-.jpg"/>
    <s v="https://pbs.twimg.com/media/FA_FMk6UYAcGEe-.jpg"/>
    <x v="15"/>
    <d v="2021-10-06T00:00:00.000"/>
    <s v="03:24:47"/>
    <s v="https://twitter.com/greenative_co/status/1445590835890851842"/>
    <m/>
    <m/>
    <s v="1445590835890851842"/>
    <m/>
    <b v="0"/>
    <n v="1"/>
    <s v=""/>
    <b v="0"/>
    <s v="th"/>
    <m/>
    <s v=""/>
    <b v="0"/>
    <n v="0"/>
    <s v=""/>
    <s v="Twitter for iPhone"/>
    <b v="0"/>
    <s v="1445590835890851842"/>
    <s v="Tweet"/>
    <n v="0"/>
    <n v="0"/>
    <m/>
    <m/>
    <m/>
    <m/>
    <m/>
    <m/>
    <m/>
    <m/>
    <n v="1"/>
    <s v="2"/>
    <s v="2"/>
    <n v="0"/>
    <n v="0"/>
    <n v="0"/>
    <n v="0"/>
    <n v="0"/>
    <n v="0"/>
    <n v="41"/>
    <n v="100"/>
    <n v="41"/>
  </r>
  <r>
    <s v="ffoodinstitute"/>
    <s v="clairececchini"/>
    <m/>
    <m/>
    <m/>
    <m/>
    <m/>
    <m/>
    <m/>
    <m/>
    <s v="No"/>
    <n v="21"/>
    <m/>
    <m/>
    <x v="1"/>
    <d v="2021-10-05T08:30:56.000"/>
    <s v="From celebrities to major influencers, we are seeing more and more celebrities investing in upcoming brands._x000a_Recently, @LeoDiCaprio has invested into 2 startups focused on creating cell-based meat alternatives: @AlephFarms and @mosa_meat. _x000a_https://t.co/JVDHnexdG3👉@ClaireCecchini"/>
    <s v="https://medium.com/futurefood/one-week-in-a-post-18-plant-based-ingredients-you-can-pronounce-celebs-craziness-on-cellular-ag-30e1b1a51a40"/>
    <s v="medium.com"/>
    <x v="0"/>
    <m/>
    <s v="https://pbs.twimg.com/profile_images/1122884182840098816/svagVcmt_normal.jpg"/>
    <x v="16"/>
    <d v="2021-10-05T00:00:00.000"/>
    <s v="08:30:56"/>
    <s v="https://twitter.com/ffoodinstitute/status/1445305494223138818"/>
    <m/>
    <m/>
    <s v="1445305494223138818"/>
    <m/>
    <b v="0"/>
    <n v="2"/>
    <s v=""/>
    <b v="0"/>
    <s v="en"/>
    <m/>
    <s v=""/>
    <b v="0"/>
    <n v="1"/>
    <s v=""/>
    <s v="Twitter Web App"/>
    <b v="0"/>
    <s v="1445305494223138818"/>
    <s v="Tweet"/>
    <n v="0"/>
    <n v="0"/>
    <m/>
    <m/>
    <m/>
    <m/>
    <m/>
    <m/>
    <m/>
    <m/>
    <n v="1"/>
    <s v="6"/>
    <s v="6"/>
    <m/>
    <m/>
    <m/>
    <m/>
    <m/>
    <m/>
    <m/>
    <m/>
    <m/>
  </r>
  <r>
    <s v="alephfarms"/>
    <s v="clairececchini"/>
    <m/>
    <m/>
    <m/>
    <m/>
    <m/>
    <m/>
    <m/>
    <m/>
    <s v="No"/>
    <n v="22"/>
    <m/>
    <m/>
    <x v="2"/>
    <d v="2021-10-06T03:53:34.000"/>
    <s v="From celebrities to major influencers, we are seeing more and more celebrities investing in upcoming brands._x000a_Recently, @LeoDiCaprio has invested into 2 startups focused on creating cell-based meat alternatives: @AlephFarms and @mosa_meat. _x000a_https://t.co/JVDHnexdG3👉@ClaireCecchini"/>
    <s v="https://medium.com/futurefood/one-week-in-a-post-18-plant-based-ingredients-you-can-pronounce-celebs-craziness-on-cellular-ag-30e1b1a51a40"/>
    <s v="medium.com"/>
    <x v="0"/>
    <m/>
    <s v="https://pbs.twimg.com/profile_images/1430059625915854895/wltKSzhZ_normal.jpg"/>
    <x v="17"/>
    <d v="2021-10-06T00:00:00.000"/>
    <s v="03:53:34"/>
    <s v="https://twitter.com/alephfarms/status/1445598078925295624"/>
    <m/>
    <m/>
    <s v="1445598078925295624"/>
    <m/>
    <b v="0"/>
    <n v="0"/>
    <s v=""/>
    <b v="0"/>
    <s v="en"/>
    <m/>
    <s v=""/>
    <b v="0"/>
    <n v="1"/>
    <s v="1445305494223138818"/>
    <s v="Twitter Web App"/>
    <b v="0"/>
    <s v="1445305494223138818"/>
    <s v="Tweet"/>
    <n v="0"/>
    <n v="0"/>
    <m/>
    <m/>
    <m/>
    <m/>
    <m/>
    <m/>
    <m/>
    <m/>
    <n v="1"/>
    <s v="6"/>
    <s v="6"/>
    <m/>
    <m/>
    <m/>
    <m/>
    <m/>
    <m/>
    <m/>
    <m/>
    <m/>
  </r>
  <r>
    <s v="drpaulbartels1"/>
    <s v="drpaulbartels1"/>
    <m/>
    <m/>
    <m/>
    <m/>
    <m/>
    <m/>
    <m/>
    <m/>
    <s v="No"/>
    <n v="29"/>
    <m/>
    <m/>
    <x v="0"/>
    <d v="2021-10-06T10:12:27.000"/>
    <s v="#xprize #CoMogale https://t.co/GFy4uz2DuJ"/>
    <s v="https://www.linkedin.com/slink?code=da6jQa5d"/>
    <s v="linkedin.com"/>
    <x v="4"/>
    <m/>
    <s v="https://pbs.twimg.com/profile_images/1325439685372600321/r46LiSsY_normal.jpg"/>
    <x v="18"/>
    <d v="2021-10-06T00:00:00.000"/>
    <s v="10:12:27"/>
    <s v="https://twitter.com/drpaulbartels1/status/1445693429753671682"/>
    <m/>
    <m/>
    <s v="1445693429753671682"/>
    <m/>
    <b v="0"/>
    <n v="0"/>
    <s v=""/>
    <b v="0"/>
    <s v="und"/>
    <m/>
    <s v=""/>
    <b v="0"/>
    <n v="0"/>
    <s v=""/>
    <s v="LinkedIn"/>
    <b v="0"/>
    <s v="1445693429753671682"/>
    <s v="Tweet"/>
    <n v="0"/>
    <n v="0"/>
    <m/>
    <m/>
    <m/>
    <m/>
    <m/>
    <m/>
    <m/>
    <m/>
    <n v="1"/>
    <s v="2"/>
    <s v="2"/>
    <n v="0"/>
    <n v="0"/>
    <n v="0"/>
    <n v="0"/>
    <n v="0"/>
    <n v="0"/>
    <n v="2"/>
    <n v="100"/>
    <n v="2"/>
  </r>
  <r>
    <s v="ironstar95"/>
    <s v="vision4future1"/>
    <m/>
    <m/>
    <m/>
    <m/>
    <m/>
    <m/>
    <m/>
    <m/>
    <s v="No"/>
    <n v="30"/>
    <m/>
    <m/>
    <x v="4"/>
    <d v="2021-10-06T11:30:36.000"/>
    <s v="Lab-Made Dairy Products_x000a_You’ve heard of cultured “meat” and Wagyu steaks grown cell by cell in a laboratory, but what about other animal-based foodstuffs? _x000a_#invention  #newinvention #newinventions #newtech #futuretech #newtechnology #futuretechnology_x000a_https://t.co/UrQy1TlLTl"/>
    <s v="https://vision4thefuture.co/lab-made-dairy-products/"/>
    <s v="vision4thefuture.co"/>
    <x v="2"/>
    <m/>
    <s v="https://pbs.twimg.com/profile_images/525654030639308801/ttl-7iNr_normal.jpeg"/>
    <x v="19"/>
    <d v="2021-10-06T00:00:00.000"/>
    <s v="11:30:36"/>
    <s v="https://twitter.com/ironstar95/status/1445713096320765956"/>
    <m/>
    <m/>
    <s v="1445713096320765956"/>
    <m/>
    <b v="0"/>
    <n v="0"/>
    <s v=""/>
    <b v="0"/>
    <s v="en"/>
    <m/>
    <s v=""/>
    <b v="0"/>
    <n v="39"/>
    <s v="1443305248240676866"/>
    <s v="Twitter Web App"/>
    <b v="0"/>
    <s v="1443305248240676866"/>
    <s v="Tweet"/>
    <n v="0"/>
    <n v="0"/>
    <m/>
    <m/>
    <m/>
    <m/>
    <m/>
    <m/>
    <m/>
    <m/>
    <n v="1"/>
    <s v="7"/>
    <s v="7"/>
    <n v="0"/>
    <n v="0"/>
    <n v="0"/>
    <n v="0"/>
    <n v="0"/>
    <n v="0"/>
    <n v="34"/>
    <n v="100"/>
    <n v="34"/>
  </r>
  <r>
    <s v="blacksmithapps"/>
    <s v="fooddive"/>
    <m/>
    <m/>
    <m/>
    <m/>
    <m/>
    <m/>
    <m/>
    <m/>
    <s v="No"/>
    <n v="31"/>
    <m/>
    <m/>
    <x v="1"/>
    <d v="2021-10-06T13:05:00.000"/>
    <s v="75% of cell-based meat companies prefer the term 'cultivated' for their products_x000a__x000a_https://t.co/0pZ4UoauQB / @FoodDive"/>
    <s v="https://www.fooddive.com/news/75-of-cell-based-meat-companies-prefer-the-term-cultivated-for-their-pro/607500/?utm_content=182314502&amp;utm_medium=social&amp;utm_source=twitter&amp;hss_channel=tw-718104481951522818"/>
    <s v="fooddive.com"/>
    <x v="0"/>
    <m/>
    <s v="https://pbs.twimg.com/profile_images/1304159174310408199/I93Wl_PP_normal.jpg"/>
    <x v="20"/>
    <d v="2021-10-06T00:00:00.000"/>
    <s v="13:05:00"/>
    <s v="https://twitter.com/blacksmithapps/status/1445736850136522758"/>
    <m/>
    <m/>
    <s v="1445736850136522758"/>
    <m/>
    <b v="0"/>
    <n v="0"/>
    <s v=""/>
    <b v="0"/>
    <s v="en"/>
    <m/>
    <s v=""/>
    <b v="0"/>
    <n v="0"/>
    <s v=""/>
    <s v="HubSpot"/>
    <b v="0"/>
    <s v="1445736850136522758"/>
    <s v="Tweet"/>
    <n v="0"/>
    <n v="0"/>
    <m/>
    <m/>
    <m/>
    <m/>
    <m/>
    <m/>
    <m/>
    <m/>
    <n v="1"/>
    <s v="25"/>
    <s v="25"/>
    <n v="1"/>
    <n v="7.142857142857143"/>
    <n v="0"/>
    <n v="0"/>
    <n v="0"/>
    <n v="0"/>
    <n v="13"/>
    <n v="92.85714285714286"/>
    <n v="14"/>
  </r>
  <r>
    <s v="80000hours"/>
    <s v="robertwiblin"/>
    <m/>
    <m/>
    <m/>
    <m/>
    <m/>
    <m/>
    <m/>
    <m/>
    <s v="No"/>
    <n v="32"/>
    <m/>
    <m/>
    <x v="4"/>
    <d v="2021-10-06T15:52:21.000"/>
    <s v="A pessimistic 'techno-economic analysis' arguing that cell-based agriculture faces a lot of difficult technical challenges on the path to becoming cost-competitive with factory-farmed meat:_x000a__x000a_https://t.co/j9pNGx1Owg"/>
    <s v="https://engrxiv.org/795su"/>
    <s v="engrxiv.org"/>
    <x v="0"/>
    <m/>
    <s v="https://pbs.twimg.com/profile_images/452047074813419520/xZcPzubX_normal.jpeg"/>
    <x v="21"/>
    <d v="2021-10-06T00:00:00.000"/>
    <s v="15:52:21"/>
    <s v="https://twitter.com/80000hours/status/1445778968225878028"/>
    <m/>
    <m/>
    <s v="1445778968225878028"/>
    <m/>
    <b v="0"/>
    <n v="0"/>
    <s v=""/>
    <b v="0"/>
    <s v="en"/>
    <m/>
    <s v=""/>
    <b v="0"/>
    <n v="2"/>
    <s v="1445778918896660481"/>
    <s v="Twitter Web App"/>
    <b v="0"/>
    <s v="1445778918896660481"/>
    <s v="Tweet"/>
    <n v="0"/>
    <n v="0"/>
    <m/>
    <m/>
    <m/>
    <m/>
    <m/>
    <m/>
    <m/>
    <m/>
    <n v="1"/>
    <s v="15"/>
    <s v="15"/>
    <n v="1"/>
    <n v="3.5714285714285716"/>
    <n v="2"/>
    <n v="7.142857142857143"/>
    <n v="0"/>
    <n v="0"/>
    <n v="25"/>
    <n v="89.28571428571429"/>
    <n v="28"/>
  </r>
  <r>
    <s v="robertwiblin"/>
    <s v="robertwiblin"/>
    <m/>
    <m/>
    <m/>
    <m/>
    <m/>
    <m/>
    <m/>
    <m/>
    <s v="No"/>
    <n v="33"/>
    <m/>
    <m/>
    <x v="0"/>
    <d v="2021-10-06T15:52:10.000"/>
    <s v="A pessimistic 'techno-economic analysis' arguing that cell-based agriculture faces a lot of difficult technical challenges on the path to becoming cost-competitive with factory-farmed meat:_x000a__x000a_https://t.co/j9pNGx1Owg"/>
    <s v="https://engrxiv.org/795su"/>
    <s v="engrxiv.org"/>
    <x v="0"/>
    <m/>
    <s v="https://pbs.twimg.com/profile_images/1325208743873667073/Zo-6k3LB_normal.jpg"/>
    <x v="22"/>
    <d v="2021-10-06T00:00:00.000"/>
    <s v="15:52:10"/>
    <s v="https://twitter.com/robertwiblin/status/1445778918896660481"/>
    <m/>
    <m/>
    <s v="1445778918896660481"/>
    <m/>
    <b v="0"/>
    <n v="13"/>
    <s v=""/>
    <b v="0"/>
    <s v="en"/>
    <m/>
    <s v=""/>
    <b v="0"/>
    <n v="2"/>
    <s v=""/>
    <s v="Twitter Web App"/>
    <b v="0"/>
    <s v="1445778918896660481"/>
    <s v="Tweet"/>
    <n v="0"/>
    <n v="0"/>
    <m/>
    <m/>
    <m/>
    <m/>
    <m/>
    <m/>
    <m/>
    <m/>
    <n v="1"/>
    <s v="15"/>
    <s v="15"/>
    <n v="1"/>
    <n v="3.5714285714285716"/>
    <n v="2"/>
    <n v="7.142857142857143"/>
    <n v="0"/>
    <n v="0"/>
    <n v="25"/>
    <n v="89.28571428571429"/>
    <n v="28"/>
  </r>
  <r>
    <s v="simonfriederich"/>
    <s v="robertwiblin"/>
    <m/>
    <m/>
    <m/>
    <m/>
    <m/>
    <m/>
    <m/>
    <m/>
    <s v="No"/>
    <n v="34"/>
    <m/>
    <m/>
    <x v="4"/>
    <d v="2021-10-06T15:54:47.000"/>
    <s v="A pessimistic 'techno-economic analysis' arguing that cell-based agriculture faces a lot of difficult technical challenges on the path to becoming cost-competitive with factory-farmed meat:_x000a__x000a_https://t.co/j9pNGx1Owg"/>
    <s v="https://engrxiv.org/795su"/>
    <s v="engrxiv.org"/>
    <x v="0"/>
    <m/>
    <s v="https://pbs.twimg.com/profile_images/1246077080028102657/p3hnfpAg_normal.jpg"/>
    <x v="23"/>
    <d v="2021-10-06T00:00:00.000"/>
    <s v="15:54:47"/>
    <s v="https://twitter.com/simonfriederich/status/1445779577586937865"/>
    <m/>
    <m/>
    <s v="1445779577586937865"/>
    <m/>
    <b v="0"/>
    <n v="0"/>
    <s v=""/>
    <b v="0"/>
    <s v="en"/>
    <m/>
    <s v=""/>
    <b v="0"/>
    <n v="2"/>
    <s v="1445778918896660481"/>
    <s v="Twitter Web App"/>
    <b v="0"/>
    <s v="1445778918896660481"/>
    <s v="Tweet"/>
    <n v="0"/>
    <n v="0"/>
    <m/>
    <m/>
    <m/>
    <m/>
    <m/>
    <m/>
    <m/>
    <m/>
    <n v="1"/>
    <s v="15"/>
    <s v="15"/>
    <n v="1"/>
    <n v="3.5714285714285716"/>
    <n v="2"/>
    <n v="7.142857142857143"/>
    <n v="0"/>
    <n v="0"/>
    <n v="25"/>
    <n v="89.28571428571429"/>
    <n v="28"/>
  </r>
  <r>
    <s v="joyancepartners"/>
    <s v="vegconomist"/>
    <m/>
    <m/>
    <m/>
    <m/>
    <m/>
    <m/>
    <m/>
    <m/>
    <s v="No"/>
    <n v="35"/>
    <m/>
    <m/>
    <x v="1"/>
    <d v="2021-10-06T19:05:07.000"/>
    <s v="&quot;Mission Barns raised $24M, w/ plans to upscale its cell-cultured fat technology &amp;amp; build a pilot factory in the Bay Area.&quot;_x000a_HEROTEIN partners w/ portfolio co. @MissionBarns to bring 1st hybrid cultivated/plant-based meat products to China (via @vegconomist) https://t.co/XSufKpVeML"/>
    <s v="https://vegconomist.com/cultivated/herotein-partners-with-mission-barns-to-bring-first-hybrid-cultivated-plant-based-meat-products-to-china/"/>
    <s v="vegconomist.com"/>
    <x v="0"/>
    <m/>
    <s v="https://pbs.twimg.com/profile_images/930182223554154496/VFXs_YZI_normal.jpg"/>
    <x v="24"/>
    <d v="2021-10-06T00:00:00.000"/>
    <s v="19:05:07"/>
    <s v="https://twitter.com/joyancepartners/status/1445827476492591106"/>
    <m/>
    <m/>
    <s v="1445827476492591106"/>
    <m/>
    <b v="0"/>
    <n v="0"/>
    <s v=""/>
    <b v="0"/>
    <s v="en"/>
    <m/>
    <s v=""/>
    <b v="0"/>
    <n v="0"/>
    <s v=""/>
    <s v="Hootsuite Inc."/>
    <b v="0"/>
    <s v="1445827476492591106"/>
    <s v="Tweet"/>
    <n v="0"/>
    <n v="0"/>
    <m/>
    <m/>
    <m/>
    <m/>
    <m/>
    <m/>
    <m/>
    <m/>
    <n v="1"/>
    <s v="5"/>
    <s v="5"/>
    <m/>
    <m/>
    <m/>
    <m/>
    <m/>
    <m/>
    <m/>
    <m/>
    <m/>
  </r>
  <r>
    <s v="goodfoodinst"/>
    <s v="missionbarns"/>
    <m/>
    <m/>
    <m/>
    <m/>
    <m/>
    <m/>
    <m/>
    <m/>
    <s v="No"/>
    <n v="36"/>
    <m/>
    <m/>
    <x v="1"/>
    <d v="2021-10-01T15:11:39.000"/>
    <s v="As a matter of FAT, this is a big deal 🧫🍔🔥_x000a__x000a_Chinese startup HEROTEIN (formerly known as HERO Protein) has entered into a strategic partnership w/ US-based cultivated fat producer @MissionBarns to launch hybrid cultivated meat/plant-based meat products. https://t.co/QWmFeCF8ah https://t.co/vNvkyWN3Zq"/>
    <s v="https://vegconomist.com/cultivated/herotein-partners-with-mission-barns-to-bring-first-hybrid-cultivated-plant-based-meat-products-to-china/"/>
    <s v="vegconomist.com"/>
    <x v="0"/>
    <s v="https://pbs.twimg.com/media/FAn0mgSWQCc1zjB.jpg"/>
    <s v="https://pbs.twimg.com/media/FAn0mgSWQCc1zjB.jpg"/>
    <x v="25"/>
    <d v="2021-10-01T00:00:00.000"/>
    <s v="15:11:39"/>
    <s v="https://twitter.com/goodfoodinst/status/1443956785384202241"/>
    <m/>
    <m/>
    <s v="1443956785384202241"/>
    <m/>
    <b v="0"/>
    <n v="15"/>
    <s v=""/>
    <b v="0"/>
    <s v="en"/>
    <m/>
    <s v=""/>
    <b v="0"/>
    <n v="2"/>
    <s v=""/>
    <s v="Twitter Web App"/>
    <b v="0"/>
    <s v="1443956785384202241"/>
    <s v="Retweet"/>
    <n v="0"/>
    <n v="0"/>
    <m/>
    <m/>
    <m/>
    <m/>
    <m/>
    <m/>
    <m/>
    <m/>
    <n v="1"/>
    <s v="5"/>
    <s v="5"/>
    <n v="1"/>
    <n v="2.5"/>
    <n v="2"/>
    <n v="5"/>
    <n v="0"/>
    <n v="0"/>
    <n v="37"/>
    <n v="92.5"/>
    <n v="40"/>
  </r>
  <r>
    <s v="joyancepartners"/>
    <s v="missionbarns"/>
    <m/>
    <m/>
    <m/>
    <m/>
    <m/>
    <m/>
    <m/>
    <m/>
    <s v="No"/>
    <n v="37"/>
    <m/>
    <m/>
    <x v="2"/>
    <d v="2021-10-05T17:38:16.000"/>
    <s v="As a matter of FAT, this is a big deal 🧫🍔🔥_x000a__x000a_Chinese startup HEROTEIN (formerly known as HERO Protein) has entered into a strategic partnership w/ US-based cultivated fat producer @MissionBarns to launch hybrid cultivated meat/plant-based meat products. https://t.co/QWmFeCF8ah https://t.co/vNvkyWN3Zq"/>
    <s v="https://vegconomist.com/cultivated/herotein-partners-with-mission-barns-to-bring-first-hybrid-cultivated-plant-based-meat-products-to-china/"/>
    <s v="vegconomist.com"/>
    <x v="0"/>
    <s v="https://pbs.twimg.com/media/FAn0mgSWQCc1zjB.jpg"/>
    <s v="https://pbs.twimg.com/media/FAn0mgSWQCc1zjB.jpg"/>
    <x v="26"/>
    <d v="2021-10-05T00:00:00.000"/>
    <s v="17:38:16"/>
    <s v="https://twitter.com/joyancepartners/status/1445443233916416003"/>
    <m/>
    <m/>
    <s v="1445443233916416003"/>
    <m/>
    <b v="0"/>
    <n v="0"/>
    <s v=""/>
    <b v="0"/>
    <s v="en"/>
    <m/>
    <s v=""/>
    <b v="0"/>
    <n v="2"/>
    <s v="1443956785384202241"/>
    <s v="Twitter Web App"/>
    <b v="0"/>
    <s v="1443956785384202241"/>
    <s v="Tweet"/>
    <n v="0"/>
    <n v="0"/>
    <m/>
    <m/>
    <m/>
    <m/>
    <m/>
    <m/>
    <m/>
    <m/>
    <n v="1"/>
    <s v="5"/>
    <s v="5"/>
    <n v="1"/>
    <n v="2.5"/>
    <n v="2"/>
    <n v="5"/>
    <n v="0"/>
    <n v="0"/>
    <n v="37"/>
    <n v="92.5"/>
    <n v="40"/>
  </r>
  <r>
    <s v="profjbmatthews"/>
    <s v="roslintech"/>
    <m/>
    <m/>
    <m/>
    <m/>
    <m/>
    <m/>
    <m/>
    <m/>
    <s v="No"/>
    <n v="40"/>
    <m/>
    <m/>
    <x v="4"/>
    <d v="2021-10-06T19:35:32.000"/>
    <s v="The emerging #CultivatedMeat ecosystem in the UK can make the country a “powerhouse for alternative proteins, exporting our products and technology across the globe and reducing the UK’s reliance on imported meat.”'_x000a__x000a_We couldn't agree more! 🐖🐄_x000a__x000a_https://t.co/JnU3FZvifK"/>
    <s v="https://www.greenqueen.com.hk/amp/cell-based-meat-economy-boost/"/>
    <s v="com.hk"/>
    <x v="5"/>
    <m/>
    <s v="https://pbs.twimg.com/profile_images/1442094860719165442/z9LBrjyn_normal.jpg"/>
    <x v="27"/>
    <d v="2021-10-06T00:00:00.000"/>
    <s v="19:35:32"/>
    <s v="https://twitter.com/profjbmatthews/status/1445835133018247176"/>
    <m/>
    <m/>
    <s v="1445835133018247176"/>
    <m/>
    <b v="0"/>
    <n v="0"/>
    <s v=""/>
    <b v="0"/>
    <s v="en"/>
    <m/>
    <s v=""/>
    <b v="0"/>
    <n v="2"/>
    <s v="1445786407209893895"/>
    <s v="Twitter for iPhone"/>
    <b v="0"/>
    <s v="1445786407209893895"/>
    <s v="Tweet"/>
    <n v="0"/>
    <n v="0"/>
    <m/>
    <m/>
    <m/>
    <m/>
    <m/>
    <m/>
    <m/>
    <m/>
    <n v="1"/>
    <s v="3"/>
    <s v="3"/>
    <n v="0"/>
    <n v="0"/>
    <n v="0"/>
    <n v="0"/>
    <n v="0"/>
    <n v="0"/>
    <n v="38"/>
    <n v="100"/>
    <n v="38"/>
  </r>
  <r>
    <s v="positiveradio"/>
    <s v="positiveradio"/>
    <m/>
    <m/>
    <m/>
    <m/>
    <m/>
    <m/>
    <m/>
    <m/>
    <s v="No"/>
    <n v="41"/>
    <m/>
    <m/>
    <x v="0"/>
    <d v="2021-10-05T19:53:41.000"/>
    <s v="One in nine people experience pain after eating. Thanks years of GMO, bio-engineered, cell based and pesticide laden fake meat and food. You've taken bad processed food to a whole new undigestible level. https://t.co/vQF2i5Pqbe"/>
    <s v="https://www.studyfinds.org/people-experience-pain-eating/"/>
    <s v="studyfinds.org"/>
    <x v="0"/>
    <m/>
    <s v="https://pbs.twimg.com/profile_images/453890066717220864/jE_H-2Pu_normal.jpeg"/>
    <x v="28"/>
    <d v="2021-10-05T00:00:00.000"/>
    <s v="19:53:41"/>
    <s v="https://twitter.com/positiveradio/status/1445477313211031565"/>
    <m/>
    <m/>
    <s v="1445477313211031565"/>
    <m/>
    <b v="0"/>
    <n v="0"/>
    <s v=""/>
    <b v="0"/>
    <s v="en"/>
    <m/>
    <s v=""/>
    <b v="0"/>
    <n v="0"/>
    <s v=""/>
    <s v="Twitter Web App"/>
    <b v="0"/>
    <s v="1445477313211031565"/>
    <s v="Tweet"/>
    <n v="0"/>
    <n v="0"/>
    <m/>
    <m/>
    <m/>
    <m/>
    <m/>
    <m/>
    <m/>
    <m/>
    <n v="2"/>
    <s v="2"/>
    <s v="2"/>
    <n v="0"/>
    <n v="0"/>
    <n v="3"/>
    <n v="8.823529411764707"/>
    <n v="0"/>
    <n v="0"/>
    <n v="31"/>
    <n v="91.17647058823529"/>
    <n v="34"/>
  </r>
  <r>
    <s v="positiveradio"/>
    <s v="positiveradio"/>
    <m/>
    <m/>
    <m/>
    <m/>
    <m/>
    <m/>
    <m/>
    <m/>
    <s v="No"/>
    <n v="42"/>
    <m/>
    <m/>
    <x v="0"/>
    <d v="2021-10-07T01:05:40.000"/>
    <s v="cell based 'LAB meat' is not selling so they're going to change the name of this GMO bio-engineered Frankenfood to get you to buy this unhealthy stuff. https://t.co/rOPn15XWub"/>
    <s v="https://newrepublic.com/article/163857/lab-meat-marketing-gmo-foods"/>
    <s v="newrepublic.com"/>
    <x v="0"/>
    <m/>
    <s v="https://pbs.twimg.com/profile_images/453890066717220864/jE_H-2Pu_normal.jpeg"/>
    <x v="29"/>
    <d v="2021-10-07T00:00:00.000"/>
    <s v="01:05:40"/>
    <s v="https://twitter.com/positiveradio/status/1445918212407787526"/>
    <m/>
    <m/>
    <s v="1445918212407787526"/>
    <m/>
    <b v="0"/>
    <n v="0"/>
    <s v=""/>
    <b v="0"/>
    <s v="en"/>
    <m/>
    <s v=""/>
    <b v="0"/>
    <n v="0"/>
    <s v=""/>
    <s v="Twitter Web App"/>
    <b v="0"/>
    <s v="1445918212407787526"/>
    <s v="Tweet"/>
    <n v="0"/>
    <n v="0"/>
    <m/>
    <m/>
    <m/>
    <m/>
    <m/>
    <m/>
    <m/>
    <m/>
    <n v="2"/>
    <s v="2"/>
    <s v="2"/>
    <n v="0"/>
    <n v="0"/>
    <n v="1"/>
    <n v="3.5714285714285716"/>
    <n v="0"/>
    <n v="0"/>
    <n v="27"/>
    <n v="96.42857142857143"/>
    <n v="28"/>
  </r>
  <r>
    <s v="hakangunery_"/>
    <s v="bluenaluinc"/>
    <m/>
    <m/>
    <m/>
    <m/>
    <m/>
    <m/>
    <m/>
    <m/>
    <s v="No"/>
    <n v="43"/>
    <m/>
    <m/>
    <x v="2"/>
    <d v="2021-10-07T08:10:53.000"/>
    <s v="On “Babbage”, with @jonfasman:_x000a_- Could lab-grown and plant-based meat be the future of food?_x000a_- @GrownUnder explores the merits of vertical farming_x000a_- How cell-cultured seafood from @BlueNaluInc could replace traditional fish farming https://t.co/aTDFDZtXLP"/>
    <s v="https://econ.trib.al/NL8KzOD"/>
    <s v="trib.al"/>
    <x v="0"/>
    <m/>
    <s v="https://pbs.twimg.com/profile_images/1066626629995282432/pazh5L7A_normal.jpg"/>
    <x v="30"/>
    <d v="2021-10-07T00:00:00.000"/>
    <s v="08:10:53"/>
    <s v="https://twitter.com/hakangunery_/status/1446025220809269248"/>
    <m/>
    <m/>
    <s v="1446025220809269248"/>
    <m/>
    <b v="0"/>
    <n v="0"/>
    <s v=""/>
    <b v="0"/>
    <s v="en"/>
    <m/>
    <s v=""/>
    <b v="0"/>
    <n v="2"/>
    <s v="1446023267106578435"/>
    <s v="Twitter for Android"/>
    <b v="0"/>
    <s v="1446023267106578435"/>
    <s v="Tweet"/>
    <n v="0"/>
    <n v="0"/>
    <m/>
    <m/>
    <m/>
    <m/>
    <m/>
    <m/>
    <m/>
    <m/>
    <n v="1"/>
    <s v="1"/>
    <s v="1"/>
    <m/>
    <m/>
    <m/>
    <m/>
    <m/>
    <m/>
    <m/>
    <m/>
    <m/>
  </r>
  <r>
    <s v="susanamdeleon2"/>
    <s v="bluenaluinc"/>
    <m/>
    <m/>
    <m/>
    <m/>
    <m/>
    <m/>
    <m/>
    <m/>
    <s v="No"/>
    <n v="47"/>
    <m/>
    <m/>
    <x v="2"/>
    <d v="2021-10-07T10:00:38.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abs.twimg.com/sticky/default_profile_images/default_profile_normal.png"/>
    <x v="31"/>
    <d v="2021-10-07T00:00:00.000"/>
    <s v="10:00:38"/>
    <s v="https://twitter.com/susanamdeleon2/status/1446052840716316677"/>
    <m/>
    <m/>
    <s v="1446052840716316677"/>
    <m/>
    <b v="0"/>
    <n v="0"/>
    <s v=""/>
    <b v="0"/>
    <s v="en"/>
    <m/>
    <s v=""/>
    <b v="0"/>
    <n v="11"/>
    <s v="1446052745350365184"/>
    <s v="Twitter for Android"/>
    <b v="0"/>
    <s v="1446052745350365184"/>
    <s v="Tweet"/>
    <n v="0"/>
    <n v="0"/>
    <m/>
    <m/>
    <m/>
    <m/>
    <m/>
    <m/>
    <m/>
    <m/>
    <n v="1"/>
    <s v="1"/>
    <s v="1"/>
    <m/>
    <m/>
    <m/>
    <m/>
    <m/>
    <m/>
    <m/>
    <m/>
    <m/>
  </r>
  <r>
    <s v="moh_nis"/>
    <s v="bluenaluinc"/>
    <m/>
    <m/>
    <m/>
    <m/>
    <m/>
    <m/>
    <m/>
    <m/>
    <s v="No"/>
    <n v="51"/>
    <m/>
    <m/>
    <x v="2"/>
    <d v="2021-10-07T10:01:07.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406643177675579396/DmQjXVQ4_normal.jpg"/>
    <x v="32"/>
    <d v="2021-10-07T00:00:00.000"/>
    <s v="10:01:07"/>
    <s v="https://twitter.com/moh_nis/status/1446052962279649281"/>
    <m/>
    <m/>
    <s v="1446052962279649281"/>
    <m/>
    <b v="0"/>
    <n v="0"/>
    <s v=""/>
    <b v="0"/>
    <s v="en"/>
    <m/>
    <s v=""/>
    <b v="0"/>
    <n v="11"/>
    <s v="1446052745350365184"/>
    <s v="Twitter for iPhone"/>
    <b v="0"/>
    <s v="1446052745350365184"/>
    <s v="Tweet"/>
    <n v="0"/>
    <n v="0"/>
    <m/>
    <m/>
    <m/>
    <m/>
    <m/>
    <m/>
    <m/>
    <m/>
    <n v="1"/>
    <s v="1"/>
    <s v="1"/>
    <m/>
    <m/>
    <m/>
    <m/>
    <m/>
    <m/>
    <m/>
    <m/>
    <m/>
  </r>
  <r>
    <s v="world_news_eng"/>
    <s v="bluenaluinc"/>
    <m/>
    <m/>
    <m/>
    <m/>
    <m/>
    <m/>
    <m/>
    <m/>
    <s v="No"/>
    <n v="55"/>
    <m/>
    <m/>
    <x v="2"/>
    <d v="2021-10-07T10:03:34.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221366082562211840/Hd6ovz0k_normal.jpg"/>
    <x v="33"/>
    <d v="2021-10-07T00:00:00.000"/>
    <s v="10:03:34"/>
    <s v="https://twitter.com/world_news_eng/status/1446053580113285124"/>
    <m/>
    <m/>
    <s v="1446053580113285124"/>
    <m/>
    <b v="0"/>
    <n v="0"/>
    <s v=""/>
    <b v="0"/>
    <s v="en"/>
    <m/>
    <s v=""/>
    <b v="0"/>
    <n v="11"/>
    <s v="1446052745350365184"/>
    <s v="world_news_eng"/>
    <b v="0"/>
    <s v="1446052745350365184"/>
    <s v="Tweet"/>
    <n v="0"/>
    <n v="0"/>
    <m/>
    <m/>
    <m/>
    <m/>
    <m/>
    <m/>
    <m/>
    <m/>
    <n v="1"/>
    <s v="1"/>
    <s v="1"/>
    <m/>
    <m/>
    <m/>
    <m/>
    <m/>
    <m/>
    <m/>
    <m/>
    <m/>
  </r>
  <r>
    <s v="ezeonufo"/>
    <s v="bluenaluinc"/>
    <m/>
    <m/>
    <m/>
    <m/>
    <m/>
    <m/>
    <m/>
    <m/>
    <s v="No"/>
    <n v="59"/>
    <m/>
    <m/>
    <x v="2"/>
    <d v="2021-10-07T10:04:10.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237392210636627968/4AaYQWX-_normal.jpg"/>
    <x v="34"/>
    <d v="2021-10-07T00:00:00.000"/>
    <s v="10:04:10"/>
    <s v="https://twitter.com/ezeonufo/status/1446053732903424001"/>
    <m/>
    <m/>
    <s v="1446053732903424001"/>
    <m/>
    <b v="0"/>
    <n v="0"/>
    <s v=""/>
    <b v="0"/>
    <s v="en"/>
    <m/>
    <s v=""/>
    <b v="0"/>
    <n v="11"/>
    <s v="1446052745350365184"/>
    <s v="Twitter for iPhone"/>
    <b v="0"/>
    <s v="1446052745350365184"/>
    <s v="Tweet"/>
    <n v="0"/>
    <n v="0"/>
    <m/>
    <m/>
    <m/>
    <m/>
    <m/>
    <m/>
    <m/>
    <m/>
    <n v="1"/>
    <s v="1"/>
    <s v="1"/>
    <m/>
    <m/>
    <m/>
    <m/>
    <m/>
    <m/>
    <m/>
    <m/>
    <m/>
  </r>
  <r>
    <s v="deucejaxon"/>
    <s v="bluenaluinc"/>
    <m/>
    <m/>
    <m/>
    <m/>
    <m/>
    <m/>
    <m/>
    <m/>
    <s v="No"/>
    <n v="63"/>
    <m/>
    <m/>
    <x v="2"/>
    <d v="2021-10-07T10:12:19.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428037507921371136/3s8BY1x4_normal.jpg"/>
    <x v="35"/>
    <d v="2021-10-07T00:00:00.000"/>
    <s v="10:12:19"/>
    <s v="https://twitter.com/deucejaxon/status/1446055783146344451"/>
    <m/>
    <m/>
    <s v="1446055783146344451"/>
    <m/>
    <b v="0"/>
    <n v="0"/>
    <s v=""/>
    <b v="0"/>
    <s v="en"/>
    <m/>
    <s v=""/>
    <b v="0"/>
    <n v="11"/>
    <s v="1446052745350365184"/>
    <s v="Twitter Web App"/>
    <b v="0"/>
    <s v="1446052745350365184"/>
    <s v="Tweet"/>
    <n v="0"/>
    <n v="0"/>
    <m/>
    <m/>
    <m/>
    <m/>
    <m/>
    <m/>
    <m/>
    <m/>
    <n v="1"/>
    <s v="1"/>
    <s v="1"/>
    <m/>
    <m/>
    <m/>
    <m/>
    <m/>
    <m/>
    <m/>
    <m/>
    <m/>
  </r>
  <r>
    <s v="andrew41544161"/>
    <s v="jungian_soul"/>
    <m/>
    <m/>
    <m/>
    <m/>
    <m/>
    <m/>
    <m/>
    <m/>
    <s v="No"/>
    <n v="67"/>
    <m/>
    <m/>
    <x v="4"/>
    <d v="2021-10-07T10:33:32.000"/>
    <s v="Australian Company To Create Cell-Based Meat From 'Exotic' Animals Like Kangaroo And Lion https://t.co/I5LIRuMN9K"/>
    <s v="https://plantbasednews.org/news/australian-company-create-cell-based-meat-from-exotic-animals/"/>
    <s v="plantbasednews.org"/>
    <x v="0"/>
    <m/>
    <s v="https://pbs.twimg.com/profile_images/1336618044135600129/fiaagpi6_normal.jpg"/>
    <x v="36"/>
    <d v="2021-10-07T00:00:00.000"/>
    <s v="10:33:32"/>
    <s v="https://twitter.com/andrew41544161/status/1446061121128091654"/>
    <m/>
    <m/>
    <s v="1446061121128091654"/>
    <m/>
    <b v="0"/>
    <n v="0"/>
    <s v=""/>
    <b v="0"/>
    <s v="en"/>
    <m/>
    <s v=""/>
    <b v="0"/>
    <n v="4"/>
    <s v="1446003859038478338"/>
    <s v="Twitter Web App"/>
    <b v="0"/>
    <s v="1446003859038478338"/>
    <s v="Tweet"/>
    <n v="0"/>
    <n v="0"/>
    <m/>
    <m/>
    <m/>
    <m/>
    <m/>
    <m/>
    <m/>
    <m/>
    <n v="1"/>
    <s v="14"/>
    <s v="14"/>
    <n v="1"/>
    <n v="7.142857142857143"/>
    <n v="0"/>
    <n v="0"/>
    <n v="0"/>
    <n v="0"/>
    <n v="13"/>
    <n v="92.85714285714286"/>
    <n v="14"/>
  </r>
  <r>
    <s v="y_supansa"/>
    <s v="bluenaluinc"/>
    <m/>
    <m/>
    <m/>
    <m/>
    <m/>
    <m/>
    <m/>
    <m/>
    <s v="No"/>
    <n v="68"/>
    <m/>
    <m/>
    <x v="2"/>
    <d v="2021-10-07T10:57:32.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446880773617840134/cgmXbaXq_normal.jpg"/>
    <x v="37"/>
    <d v="2021-10-07T00:00:00.000"/>
    <s v="10:57:32"/>
    <s v="https://twitter.com/y_supansa/status/1446067160829227009"/>
    <m/>
    <m/>
    <s v="1446067160829227009"/>
    <m/>
    <b v="0"/>
    <n v="0"/>
    <s v=""/>
    <b v="0"/>
    <s v="en"/>
    <m/>
    <s v=""/>
    <b v="0"/>
    <n v="11"/>
    <s v="1446052745350365184"/>
    <s v="Twitter for iPhone"/>
    <b v="0"/>
    <s v="1446052745350365184"/>
    <s v="Tweet"/>
    <n v="0"/>
    <n v="0"/>
    <m/>
    <m/>
    <m/>
    <m/>
    <m/>
    <m/>
    <m/>
    <m/>
    <n v="1"/>
    <s v="1"/>
    <s v="1"/>
    <m/>
    <m/>
    <m/>
    <m/>
    <m/>
    <m/>
    <m/>
    <m/>
    <m/>
  </r>
  <r>
    <s v="marionnestle"/>
    <s v="marionnestle"/>
    <m/>
    <m/>
    <m/>
    <m/>
    <m/>
    <m/>
    <m/>
    <m/>
    <s v="No"/>
    <n v="72"/>
    <m/>
    <m/>
    <x v="0"/>
    <d v="2021-09-28T13:00:50.000"/>
    <s v="Meat alternatives: cell-based https://t.co/f3nZ1rBcnT"/>
    <s v="https://www.foodpolitics.com/2021/09/meat-alternatives-cell-based/"/>
    <s v="foodpolitics.com"/>
    <x v="0"/>
    <m/>
    <s v="https://pbs.twimg.com/profile_images/993312802654765057/E-GFQ2Ne_normal.jpg"/>
    <x v="38"/>
    <d v="2021-09-28T00:00:00.000"/>
    <s v="13:00:50"/>
    <s v="https://twitter.com/marionnestle/status/1442836700049428481"/>
    <m/>
    <m/>
    <s v="1442836700049428481"/>
    <m/>
    <b v="0"/>
    <n v="14"/>
    <s v=""/>
    <b v="0"/>
    <s v="en"/>
    <m/>
    <s v=""/>
    <b v="0"/>
    <n v="5"/>
    <s v=""/>
    <s v="WordPress.com"/>
    <b v="0"/>
    <s v="1442836700049428481"/>
    <s v="Retweet"/>
    <n v="0"/>
    <n v="0"/>
    <m/>
    <m/>
    <m/>
    <m/>
    <m/>
    <m/>
    <m/>
    <m/>
    <n v="1"/>
    <s v="24"/>
    <s v="24"/>
    <n v="0"/>
    <n v="0"/>
    <n v="0"/>
    <n v="0"/>
    <n v="0"/>
    <n v="0"/>
    <n v="4"/>
    <n v="100"/>
    <n v="4"/>
  </r>
  <r>
    <s v="jessica_raneri"/>
    <s v="marionnestle"/>
    <m/>
    <m/>
    <m/>
    <m/>
    <m/>
    <m/>
    <m/>
    <m/>
    <s v="No"/>
    <n v="73"/>
    <m/>
    <m/>
    <x v="4"/>
    <d v="2021-10-07T11:42:35.000"/>
    <s v="Meat alternatives: cell-based https://t.co/f3nZ1rBcnT"/>
    <s v="https://www.foodpolitics.com/2021/09/meat-alternatives-cell-based/"/>
    <s v="foodpolitics.com"/>
    <x v="0"/>
    <m/>
    <s v="https://pbs.twimg.com/profile_images/1200220758598750208/7cL1vRFe_normal.jpg"/>
    <x v="39"/>
    <d v="2021-10-07T00:00:00.000"/>
    <s v="11:42:35"/>
    <s v="https://twitter.com/jessica_raneri/status/1446078496640409602"/>
    <m/>
    <m/>
    <s v="1446078496640409602"/>
    <m/>
    <b v="0"/>
    <n v="0"/>
    <s v=""/>
    <b v="0"/>
    <s v="en"/>
    <m/>
    <s v=""/>
    <b v="0"/>
    <n v="5"/>
    <s v="1442836700049428481"/>
    <s v="Twitter for Android"/>
    <b v="0"/>
    <s v="1442836700049428481"/>
    <s v="Tweet"/>
    <n v="0"/>
    <n v="0"/>
    <m/>
    <m/>
    <m/>
    <m/>
    <m/>
    <m/>
    <m/>
    <m/>
    <n v="1"/>
    <s v="24"/>
    <s v="24"/>
    <n v="0"/>
    <n v="0"/>
    <n v="0"/>
    <n v="0"/>
    <n v="0"/>
    <n v="0"/>
    <n v="4"/>
    <n v="100"/>
    <n v="4"/>
  </r>
  <r>
    <s v="gregory_chupa"/>
    <s v="gregory_chupa"/>
    <m/>
    <m/>
    <m/>
    <m/>
    <m/>
    <m/>
    <m/>
    <m/>
    <s v="No"/>
    <n v="74"/>
    <m/>
    <m/>
    <x v="0"/>
    <d v="2021-10-07T11:52:52.000"/>
    <s v="One that’s been used in Singapore but not available here on the market yet is cell-based protein. That’s where you take the cell of an animal — a cow or a pig — and you grow the meat, not the animal, in the lab. So it will be an actual hamburger or a steak. This way you don’t ... https://t.co/aqvVNiK1fe"/>
    <s v="https://twitter.com/gregory_chupa/status/1446080921363492868"/>
    <s v="twitter.com"/>
    <x v="0"/>
    <m/>
    <s v="https://pbs.twimg.com/profile_images/1188859816099373056/op_8mGKQ_normal.jpg"/>
    <x v="40"/>
    <d v="2021-10-07T00:00:00.000"/>
    <s v="11:52:52"/>
    <s v="https://twitter.com/gregory_chupa/status/1446081087604760582"/>
    <m/>
    <m/>
    <s v="1446081087604760582"/>
    <m/>
    <b v="0"/>
    <n v="0"/>
    <s v=""/>
    <b v="1"/>
    <s v="en"/>
    <m/>
    <s v="1446080921363492868"/>
    <b v="0"/>
    <n v="0"/>
    <s v=""/>
    <s v="Twitter Web App"/>
    <b v="0"/>
    <s v="1446081087604760582"/>
    <s v="Tweet"/>
    <n v="0"/>
    <n v="0"/>
    <m/>
    <m/>
    <m/>
    <m/>
    <m/>
    <m/>
    <m/>
    <m/>
    <n v="1"/>
    <s v="2"/>
    <s v="2"/>
    <n v="1"/>
    <n v="1.6666666666666667"/>
    <n v="1"/>
    <n v="1.6666666666666667"/>
    <n v="0"/>
    <n v="0"/>
    <n v="58"/>
    <n v="96.66666666666667"/>
    <n v="60"/>
  </r>
  <r>
    <s v="glorydey1"/>
    <s v="bluenaluinc"/>
    <m/>
    <m/>
    <m/>
    <m/>
    <m/>
    <m/>
    <m/>
    <m/>
    <s v="No"/>
    <n v="75"/>
    <m/>
    <m/>
    <x v="2"/>
    <d v="2021-10-07T13:02:10.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945159517150388224/xvUeEWtp_normal.jpg"/>
    <x v="41"/>
    <d v="2021-10-07T00:00:00.000"/>
    <s v="13:02:10"/>
    <s v="https://twitter.com/glorydey1/status/1446098525331230723"/>
    <m/>
    <m/>
    <s v="1446098525331230723"/>
    <m/>
    <b v="0"/>
    <n v="0"/>
    <s v=""/>
    <b v="0"/>
    <s v="en"/>
    <m/>
    <s v=""/>
    <b v="0"/>
    <n v="11"/>
    <s v="1446052745350365184"/>
    <s v="Twitter for Android"/>
    <b v="0"/>
    <s v="1446052745350365184"/>
    <s v="Tweet"/>
    <n v="0"/>
    <n v="0"/>
    <m/>
    <m/>
    <m/>
    <m/>
    <m/>
    <m/>
    <m/>
    <m/>
    <n v="1"/>
    <s v="1"/>
    <s v="1"/>
    <m/>
    <m/>
    <m/>
    <m/>
    <m/>
    <m/>
    <m/>
    <m/>
    <m/>
  </r>
  <r>
    <s v="steve_ia_hill"/>
    <s v="chuckgrassley"/>
    <m/>
    <m/>
    <m/>
    <m/>
    <m/>
    <m/>
    <m/>
    <m/>
    <s v="No"/>
    <n v="79"/>
    <m/>
    <m/>
    <x v="3"/>
    <d v="2021-10-07T19:10:09.000"/>
    <s v="@ChuckGrassley Israeli startup that makes cell-based meat just opened a pilot facility to produce 5,000 slaughter-free burgers a day. The CEO of Cargill recently said that plant-based meat could make up as much as 10 percent of the meat market within a few years. Times are changing, Chuck."/>
    <m/>
    <m/>
    <x v="0"/>
    <m/>
    <s v="https://pbs.twimg.com/profile_images/1428045708771352578/1-ghqROX_normal.jpg"/>
    <x v="42"/>
    <d v="2021-10-07T00:00:00.000"/>
    <s v="19:10:09"/>
    <s v="https://twitter.com/steve_ia_hill/status/1446191133089046528"/>
    <m/>
    <m/>
    <s v="1446191133089046528"/>
    <s v="1446156723308347395"/>
    <b v="0"/>
    <n v="3"/>
    <s v="10615232"/>
    <b v="0"/>
    <s v="en"/>
    <m/>
    <s v=""/>
    <b v="0"/>
    <n v="0"/>
    <s v=""/>
    <s v="Twitter for Android"/>
    <b v="0"/>
    <s v="1446156723308347395"/>
    <s v="Tweet"/>
    <n v="0"/>
    <n v="0"/>
    <m/>
    <m/>
    <m/>
    <m/>
    <m/>
    <m/>
    <m/>
    <m/>
    <n v="1"/>
    <s v="23"/>
    <s v="23"/>
    <n v="1"/>
    <n v="1.9230769230769231"/>
    <n v="1"/>
    <n v="1.9230769230769231"/>
    <n v="0"/>
    <n v="0"/>
    <n v="50"/>
    <n v="96.15384615384616"/>
    <n v="52"/>
  </r>
  <r>
    <s v="ozzyconda"/>
    <s v="jungian_soul"/>
    <m/>
    <m/>
    <m/>
    <m/>
    <m/>
    <m/>
    <m/>
    <m/>
    <s v="No"/>
    <n v="80"/>
    <m/>
    <m/>
    <x v="4"/>
    <d v="2021-10-07T21:39:23.000"/>
    <s v="Australian Company To Create Cell-Based Meat From 'Exotic' Animals Like Kangaroo And Lion https://t.co/I5LIRuMN9K"/>
    <s v="https://plantbasednews.org/news/australian-company-create-cell-based-meat-from-exotic-animals/"/>
    <s v="plantbasednews.org"/>
    <x v="0"/>
    <m/>
    <s v="https://pbs.twimg.com/profile_images/1375562084545486848/ToDfVwF6_normal.jpg"/>
    <x v="43"/>
    <d v="2021-10-07T00:00:00.000"/>
    <s v="21:39:23"/>
    <s v="https://twitter.com/ozzyconda/status/1446228688152891393"/>
    <m/>
    <m/>
    <s v="1446228688152891393"/>
    <m/>
    <b v="0"/>
    <n v="0"/>
    <s v=""/>
    <b v="0"/>
    <s v="en"/>
    <m/>
    <s v=""/>
    <b v="0"/>
    <n v="4"/>
    <s v="1446003859038478338"/>
    <s v="Twitter Web App"/>
    <b v="0"/>
    <s v="1446003859038478338"/>
    <s v="Tweet"/>
    <n v="0"/>
    <n v="0"/>
    <m/>
    <m/>
    <m/>
    <m/>
    <m/>
    <m/>
    <m/>
    <m/>
    <n v="1"/>
    <s v="14"/>
    <s v="14"/>
    <n v="1"/>
    <n v="7.142857142857143"/>
    <n v="0"/>
    <n v="0"/>
    <n v="0"/>
    <n v="0"/>
    <n v="13"/>
    <n v="92.85714285714286"/>
    <n v="14"/>
  </r>
  <r>
    <s v="vectorresearch"/>
    <s v="vectorresearch"/>
    <m/>
    <m/>
    <m/>
    <m/>
    <m/>
    <m/>
    <m/>
    <m/>
    <s v="No"/>
    <n v="81"/>
    <m/>
    <m/>
    <x v="0"/>
    <d v="2021-10-07T23:45:58.000"/>
    <s v="What should we call lab meat? Clean meat? Cultivated? Cultured? Cell-based? Lab-grown? https://t.co/matCxnZCPp"/>
    <s v="https://newrepublic.com/article/163857/lab-meat-marketing-gmo-foods?utm_source=newsletter&amp;utm_medium=email&amp;utm_campaign=tnr_daily"/>
    <s v="newrepublic.com"/>
    <x v="0"/>
    <m/>
    <s v="https://pbs.twimg.com/profile_images/691704504539037696/Ul7qHJX5_normal.png"/>
    <x v="44"/>
    <d v="2021-10-07T00:00:00.000"/>
    <s v="23:45:58"/>
    <s v="https://twitter.com/vectorresearch/status/1446260541715013636"/>
    <m/>
    <m/>
    <s v="1446260541715013636"/>
    <m/>
    <b v="0"/>
    <n v="1"/>
    <s v=""/>
    <b v="0"/>
    <s v="en"/>
    <m/>
    <s v=""/>
    <b v="0"/>
    <n v="0"/>
    <s v=""/>
    <s v="Hootsuite Inc."/>
    <b v="0"/>
    <s v="1446260541715013636"/>
    <s v="Tweet"/>
    <n v="0"/>
    <n v="0"/>
    <m/>
    <m/>
    <m/>
    <m/>
    <m/>
    <m/>
    <m/>
    <m/>
    <n v="1"/>
    <s v="2"/>
    <s v="2"/>
    <n v="1"/>
    <n v="7.142857142857143"/>
    <n v="0"/>
    <n v="0"/>
    <n v="0"/>
    <n v="0"/>
    <n v="13"/>
    <n v="92.85714285714286"/>
    <n v="14"/>
  </r>
  <r>
    <s v="lizmarsfilm"/>
    <s v="upsidefoods"/>
    <m/>
    <m/>
    <m/>
    <m/>
    <m/>
    <m/>
    <m/>
    <m/>
    <s v="No"/>
    <n v="82"/>
    <m/>
    <m/>
    <x v="2"/>
    <d v="2021-10-08T01:19:44.000"/>
    <s v="5 yrs ago we launched our filmmaking journey to chronicle the birth of the “clean” “cultured” “cell-based” “cultivated” meat movement, through the eyes of @UmaValeti and @upsidefoods 🎉 it’s been well worth it. Do you agree? #MyTwitterAnniversary https://t.co/DW4wbj83y8"/>
    <m/>
    <m/>
    <x v="6"/>
    <s v="https://pbs.twimg.com/media/FBI7gPFVQAMNirk.jpg"/>
    <s v="https://pbs.twimg.com/media/FBI7gPFVQAMNirk.jpg"/>
    <x v="45"/>
    <d v="2021-10-08T00:00:00.000"/>
    <s v="01:19:44"/>
    <s v="https://twitter.com/lizmarsfilm/status/1446284139884257280"/>
    <m/>
    <m/>
    <s v="1446284139884257280"/>
    <m/>
    <b v="0"/>
    <n v="0"/>
    <s v=""/>
    <b v="0"/>
    <s v="en"/>
    <m/>
    <s v=""/>
    <b v="0"/>
    <n v="3"/>
    <s v="1446283859042062338"/>
    <s v="Twitter for iPhone"/>
    <b v="0"/>
    <s v="1446283859042062338"/>
    <s v="Tweet"/>
    <n v="0"/>
    <n v="0"/>
    <m/>
    <m/>
    <m/>
    <m/>
    <m/>
    <m/>
    <m/>
    <m/>
    <n v="1"/>
    <s v="3"/>
    <s v="3"/>
    <m/>
    <m/>
    <m/>
    <m/>
    <m/>
    <m/>
    <m/>
    <m/>
    <m/>
  </r>
  <r>
    <s v="toshichimura"/>
    <s v="toshichimura"/>
    <m/>
    <m/>
    <m/>
    <m/>
    <m/>
    <m/>
    <m/>
    <m/>
    <s v="No"/>
    <n v="85"/>
    <m/>
    <m/>
    <x v="0"/>
    <d v="2021-10-08T04:01:30.000"/>
    <s v="USDAが培養肉の表記についてパブコメを集めているなか、培養肉メーカーの75%がcultivatedを表記として好ましいと考えているとGFIの調査結果。メーカーからするとそうかもしれないが、cellを入れないのは消費者保護としてまずいので、cell culturedあたりに落ち着くのでは。_x000a_https://t.co/6IbEB1UfU9"/>
    <s v="https://www.fooddive.com/news/75-of-cell-based-meat-companies-prefer-the-term-cultivated-for-their-pro/607500/"/>
    <s v="fooddive.com"/>
    <x v="0"/>
    <m/>
    <s v="https://pbs.twimg.com/profile_images/1401004206392180740/HImihjlV_normal.jpg"/>
    <x v="46"/>
    <d v="2021-10-08T00:00:00.000"/>
    <s v="04:01:30"/>
    <s v="https://twitter.com/toshichimura/status/1446324849043918852"/>
    <m/>
    <m/>
    <s v="1446324849043918852"/>
    <m/>
    <b v="0"/>
    <n v="1"/>
    <s v=""/>
    <b v="0"/>
    <s v="ja"/>
    <m/>
    <s v=""/>
    <b v="0"/>
    <n v="0"/>
    <s v=""/>
    <s v="Twitter for iPhone"/>
    <b v="0"/>
    <s v="1446324849043918852"/>
    <s v="Tweet"/>
    <n v="0"/>
    <n v="0"/>
    <m/>
    <m/>
    <m/>
    <m/>
    <m/>
    <m/>
    <m/>
    <m/>
    <n v="1"/>
    <s v="2"/>
    <s v="2"/>
    <n v="0"/>
    <n v="0"/>
    <n v="0"/>
    <n v="0"/>
    <n v="0"/>
    <n v="0"/>
    <n v="7"/>
    <n v="100"/>
    <n v="7"/>
  </r>
  <r>
    <s v="audreyeseybold"/>
    <s v="audreyeseybold"/>
    <m/>
    <m/>
    <m/>
    <m/>
    <m/>
    <m/>
    <m/>
    <m/>
    <s v="No"/>
    <n v="86"/>
    <m/>
    <m/>
    <x v="0"/>
    <d v="2021-10-08T13:27:19.000"/>
    <s v="What do you think about cell-based meat?"/>
    <m/>
    <m/>
    <x v="0"/>
    <m/>
    <s v="https://pbs.twimg.com/profile_images/1443976422989733899/L7-zgxUA_normal.jpg"/>
    <x v="47"/>
    <d v="2021-10-08T00:00:00.000"/>
    <s v="13:27:19"/>
    <s v="https://twitter.com/audreyeseybold/status/1446467243576004632"/>
    <m/>
    <m/>
    <s v="1446467243576004632"/>
    <m/>
    <b v="0"/>
    <n v="2"/>
    <s v=""/>
    <b v="0"/>
    <s v="en"/>
    <m/>
    <s v=""/>
    <b v="0"/>
    <n v="0"/>
    <s v=""/>
    <s v="Twitter for iPhone"/>
    <b v="0"/>
    <s v="1446467243576004632"/>
    <s v="Tweet"/>
    <n v="0"/>
    <n v="0"/>
    <m/>
    <m/>
    <m/>
    <m/>
    <m/>
    <m/>
    <m/>
    <m/>
    <n v="1"/>
    <s v="22"/>
    <s v="22"/>
    <n v="0"/>
    <n v="0"/>
    <n v="0"/>
    <n v="0"/>
    <n v="0"/>
    <n v="0"/>
    <n v="8"/>
    <n v="100"/>
    <n v="8"/>
  </r>
  <r>
    <s v="jantjieskyle"/>
    <s v="audreyeseybold"/>
    <m/>
    <m/>
    <m/>
    <m/>
    <m/>
    <m/>
    <m/>
    <m/>
    <s v="No"/>
    <n v="87"/>
    <m/>
    <m/>
    <x v="3"/>
    <d v="2021-10-08T13:34:29.000"/>
    <s v="@AudreyESeybold I do not think about cell based meat"/>
    <m/>
    <m/>
    <x v="0"/>
    <m/>
    <s v="https://pbs.twimg.com/profile_images/1134386459723608065/k4oaCqnW_normal.jpg"/>
    <x v="48"/>
    <d v="2021-10-08T00:00:00.000"/>
    <s v="13:34:29"/>
    <s v="https://twitter.com/jantjieskyle/status/1446469046157840403"/>
    <m/>
    <m/>
    <s v="1446469046157840403"/>
    <s v="1446467243576004632"/>
    <b v="0"/>
    <n v="0"/>
    <s v="3107963936"/>
    <b v="0"/>
    <s v="en"/>
    <m/>
    <s v=""/>
    <b v="0"/>
    <n v="0"/>
    <s v=""/>
    <s v="Twitter for Android"/>
    <b v="0"/>
    <s v="1446467243576004632"/>
    <s v="Tweet"/>
    <n v="0"/>
    <n v="0"/>
    <m/>
    <m/>
    <m/>
    <m/>
    <m/>
    <m/>
    <m/>
    <m/>
    <n v="1"/>
    <s v="22"/>
    <s v="22"/>
    <n v="0"/>
    <n v="0"/>
    <n v="0"/>
    <n v="0"/>
    <n v="0"/>
    <n v="0"/>
    <n v="9"/>
    <n v="100"/>
    <n v="9"/>
  </r>
  <r>
    <s v="avf_scooby2000"/>
    <s v="jacyanthis"/>
    <m/>
    <m/>
    <m/>
    <m/>
    <m/>
    <m/>
    <m/>
    <m/>
    <s v="No"/>
    <n v="88"/>
    <m/>
    <m/>
    <x v="3"/>
    <d v="2021-10-08T14:14:54.000"/>
    <s v="@jacyanthis 'Cultured' sounds more accurate as to what it is. Lab-grown makes it sound artificial, which it isn't, cell - based meat sounds a little detached."/>
    <m/>
    <m/>
    <x v="0"/>
    <m/>
    <s v="https://pbs.twimg.com/profile_images/1441367829312245766/Q9z4NC_n_normal.jpg"/>
    <x v="49"/>
    <d v="2021-10-08T00:00:00.000"/>
    <s v="14:14:54"/>
    <s v="https://twitter.com/avf_scooby2000/status/1446479216069992451"/>
    <m/>
    <m/>
    <s v="1446479216069992451"/>
    <s v="1444702031063683075"/>
    <b v="0"/>
    <n v="0"/>
    <s v="1539866125"/>
    <b v="0"/>
    <s v="en"/>
    <m/>
    <s v=""/>
    <b v="0"/>
    <n v="0"/>
    <s v=""/>
    <s v="Twitter for Android"/>
    <b v="0"/>
    <s v="1444702031063683075"/>
    <s v="Tweet"/>
    <n v="0"/>
    <n v="0"/>
    <m/>
    <m/>
    <m/>
    <m/>
    <m/>
    <m/>
    <m/>
    <m/>
    <n v="1"/>
    <s v="21"/>
    <s v="21"/>
    <n v="1"/>
    <n v="3.8461538461538463"/>
    <n v="0"/>
    <n v="0"/>
    <n v="0"/>
    <n v="0"/>
    <n v="25"/>
    <n v="96.15384615384616"/>
    <n v="26"/>
  </r>
  <r>
    <s v="culinarycultur1"/>
    <s v="culinarycultur1"/>
    <m/>
    <m/>
    <m/>
    <m/>
    <m/>
    <m/>
    <m/>
    <m/>
    <s v="No"/>
    <n v="89"/>
    <m/>
    <m/>
    <x v="0"/>
    <d v="2021-10-08T13:30:18.000"/>
    <s v="#FoodPoll for you: Would you prefer cell-based meat to be called:_x000a_1. Cultivated_x000a_2. Cultured_x000a_3. Cell-Based_x000a_Comment to let us know! #food #alternativeprotien_x000a_https://t.co/mQgvasTjkT"/>
    <s v="https://www.fooddive.com/news/75-of-cell-based-meat-companies-prefer-the-term-cultivated-for-their-pro/607500/"/>
    <s v="fooddive.com"/>
    <x v="7"/>
    <m/>
    <s v="https://pbs.twimg.com/profile_images/943566393122873344/4dyGWW3x_normal.jpg"/>
    <x v="50"/>
    <d v="2021-10-08T00:00:00.000"/>
    <s v="13:30:18"/>
    <s v="https://twitter.com/culinarycultur1/status/1446467992993271849"/>
    <m/>
    <m/>
    <s v="1446467992993271849"/>
    <m/>
    <b v="0"/>
    <n v="2"/>
    <s v=""/>
    <b v="0"/>
    <s v="en"/>
    <m/>
    <s v=""/>
    <b v="0"/>
    <n v="1"/>
    <s v=""/>
    <s v="SocialBee.io v2"/>
    <b v="0"/>
    <s v="1446467992993271849"/>
    <s v="Tweet"/>
    <n v="0"/>
    <n v="0"/>
    <m/>
    <m/>
    <m/>
    <m/>
    <m/>
    <m/>
    <m/>
    <m/>
    <n v="1"/>
    <s v="20"/>
    <s v="20"/>
    <n v="1"/>
    <n v="3.8461538461538463"/>
    <n v="0"/>
    <n v="0"/>
    <n v="0"/>
    <n v="0"/>
    <n v="25"/>
    <n v="96.15384615384616"/>
    <n v="26"/>
  </r>
  <r>
    <s v="sial_america"/>
    <s v="culinarycultur1"/>
    <m/>
    <m/>
    <m/>
    <m/>
    <m/>
    <m/>
    <m/>
    <m/>
    <s v="No"/>
    <n v="90"/>
    <m/>
    <m/>
    <x v="4"/>
    <d v="2021-10-08T16:44:38.000"/>
    <s v="#FoodPoll for you: Would you prefer cell-based meat to be called:_x000a_1. Cultivated_x000a_2. Cultured_x000a_3. Cell-Based_x000a_Comment to let us know! #food #alternativeprotien_x000a_https://t.co/mQgvasTjkT"/>
    <s v="https://www.fooddive.com/news/75-of-cell-based-meat-companies-prefer-the-term-cultivated-for-their-pro/607500/"/>
    <s v="fooddive.com"/>
    <x v="7"/>
    <m/>
    <s v="https://pbs.twimg.com/profile_images/1415732051316150272/4wJ4cGoY_normal.jpg"/>
    <x v="51"/>
    <d v="2021-10-08T00:00:00.000"/>
    <s v="16:44:38"/>
    <s v="https://twitter.com/sial_america/status/1446516897764319259"/>
    <m/>
    <m/>
    <s v="1446516897764319259"/>
    <m/>
    <b v="0"/>
    <n v="0"/>
    <s v=""/>
    <b v="0"/>
    <s v="en"/>
    <m/>
    <s v=""/>
    <b v="0"/>
    <n v="1"/>
    <s v="1446467992993271849"/>
    <s v="Twitter Web App"/>
    <b v="0"/>
    <s v="1446467992993271849"/>
    <s v="Tweet"/>
    <n v="0"/>
    <n v="0"/>
    <m/>
    <m/>
    <m/>
    <m/>
    <m/>
    <m/>
    <m/>
    <m/>
    <n v="1"/>
    <s v="20"/>
    <s v="20"/>
    <n v="1"/>
    <n v="3.8461538461538463"/>
    <n v="0"/>
    <n v="0"/>
    <n v="0"/>
    <n v="0"/>
    <n v="25"/>
    <n v="96.15384615384616"/>
    <n v="26"/>
  </r>
  <r>
    <s v="ra_mc"/>
    <s v="upsidefoods"/>
    <m/>
    <m/>
    <m/>
    <m/>
    <m/>
    <m/>
    <m/>
    <m/>
    <s v="No"/>
    <n v="91"/>
    <m/>
    <m/>
    <x v="2"/>
    <d v="2021-10-08T18:27:19.000"/>
    <s v="5 yrs ago we launched our filmmaking journey to chronicle the birth of the “clean” “cultured” “cell-based” “cultivated” meat movement, through the eyes of @UmaValeti and @upsidefoods 🎉 it’s been well worth it. Do you agree? #MyTwitterAnniversary https://t.co/DW4wbj83y8"/>
    <m/>
    <m/>
    <x v="6"/>
    <s v="https://pbs.twimg.com/media/FBI7gPFVQAMNirk.jpg"/>
    <s v="https://pbs.twimg.com/media/FBI7gPFVQAMNirk.jpg"/>
    <x v="52"/>
    <d v="2021-10-08T00:00:00.000"/>
    <s v="18:27:19"/>
    <s v="https://twitter.com/ra_mc/status/1446542740456681475"/>
    <m/>
    <m/>
    <s v="1446542740456681475"/>
    <m/>
    <b v="0"/>
    <n v="0"/>
    <s v=""/>
    <b v="0"/>
    <s v="en"/>
    <m/>
    <s v=""/>
    <b v="0"/>
    <n v="3"/>
    <s v="1446283859042062338"/>
    <s v="Twitter for iPad"/>
    <b v="0"/>
    <s v="1446283859042062338"/>
    <s v="Tweet"/>
    <n v="0"/>
    <n v="0"/>
    <m/>
    <m/>
    <m/>
    <m/>
    <m/>
    <m/>
    <m/>
    <m/>
    <n v="1"/>
    <s v="3"/>
    <s v="3"/>
    <m/>
    <m/>
    <m/>
    <m/>
    <m/>
    <m/>
    <m/>
    <m/>
    <m/>
  </r>
  <r>
    <s v="3dprintmaven"/>
    <s v="3dprintmaven"/>
    <m/>
    <m/>
    <m/>
    <m/>
    <m/>
    <m/>
    <m/>
    <m/>
    <s v="No"/>
    <n v="94"/>
    <m/>
    <m/>
    <x v="0"/>
    <d v="2021-10-08T19:23:14.000"/>
    <s v="Ashton Kutcher Joins Cell-Based Meat Company to Develop 3D Bioprinting #3dprinting https://t.co/w5jhFL4ukQ"/>
    <s v="https://vegnews.com/2021/10/ashton-kutcher-cell-based-meat"/>
    <s v="vegnews.com"/>
    <x v="8"/>
    <m/>
    <s v="https://pbs.twimg.com/profile_images/602921690318786560/FVC_WcM4_normal.png"/>
    <x v="53"/>
    <d v="2021-10-08T00:00:00.000"/>
    <s v="19:23:14"/>
    <s v="https://twitter.com/3dprintmaven/status/1446556810693992448"/>
    <m/>
    <m/>
    <s v="1446556810693992448"/>
    <m/>
    <b v="0"/>
    <n v="1"/>
    <s v=""/>
    <b v="0"/>
    <s v="en"/>
    <m/>
    <s v=""/>
    <b v="0"/>
    <n v="0"/>
    <s v=""/>
    <s v="3D Printing News Feed"/>
    <b v="0"/>
    <s v="1446556810693992448"/>
    <s v="Tweet"/>
    <n v="0"/>
    <n v="0"/>
    <m/>
    <m/>
    <m/>
    <m/>
    <m/>
    <m/>
    <m/>
    <m/>
    <n v="1"/>
    <s v="2"/>
    <s v="2"/>
    <n v="0"/>
    <n v="0"/>
    <n v="0"/>
    <n v="0"/>
    <n v="0"/>
    <n v="0"/>
    <n v="12"/>
    <n v="100"/>
    <n v="12"/>
  </r>
  <r>
    <s v="mslisawilliams"/>
    <s v="mslisawilliams"/>
    <m/>
    <m/>
    <m/>
    <m/>
    <m/>
    <m/>
    <m/>
    <m/>
    <s v="No"/>
    <n v="95"/>
    <m/>
    <m/>
    <x v="0"/>
    <d v="2021-10-08T19:26:56.000"/>
    <s v="Ashton Kutcher Joins Cell-Based Meat Company to Develop 3D-Bioprinting https://t.co/F4ytExT8Wz https://t.co/jGnc0W2sHN"/>
    <s v="https://vegnews.com/2021/10/ashton-kutcher-cell-based-meat"/>
    <s v="vegnews.com"/>
    <x v="0"/>
    <s v="https://pbs.twimg.com/media/FBM0mlKXEC0uDzh.jpg"/>
    <s v="https://pbs.twimg.com/media/FBM0mlKXEC0uDzh.jpg"/>
    <x v="54"/>
    <d v="2021-10-08T00:00:00.000"/>
    <s v="19:26:56"/>
    <s v="https://twitter.com/mslisawilliams/status/1446557744249593858"/>
    <m/>
    <m/>
    <s v="1446557744249593858"/>
    <m/>
    <b v="0"/>
    <n v="0"/>
    <s v=""/>
    <b v="0"/>
    <s v="en"/>
    <m/>
    <s v=""/>
    <b v="0"/>
    <n v="0"/>
    <s v=""/>
    <s v="IFTTT"/>
    <b v="0"/>
    <s v="1446557744249593858"/>
    <s v="Tweet"/>
    <n v="0"/>
    <n v="0"/>
    <m/>
    <m/>
    <m/>
    <m/>
    <m/>
    <m/>
    <m/>
    <m/>
    <n v="1"/>
    <s v="2"/>
    <s v="2"/>
    <n v="0"/>
    <n v="0"/>
    <n v="0"/>
    <n v="0"/>
    <n v="0"/>
    <n v="0"/>
    <n v="11"/>
    <n v="100"/>
    <n v="11"/>
  </r>
  <r>
    <s v="geneticliteracy"/>
    <s v="foodsafetynews"/>
    <m/>
    <m/>
    <m/>
    <m/>
    <m/>
    <m/>
    <m/>
    <m/>
    <s v="No"/>
    <n v="96"/>
    <m/>
    <m/>
    <x v="1"/>
    <d v="2021-10-08T19:40:34.000"/>
    <s v="How should cell-based products be labelled? #labmeat @foodsafetynews #labmeat https://t.co/hzPYRUq4ks"/>
    <s v="https://geneticliteracyproject.org/2021/10/08/should-lab-grown-beef-be-labeled-meat-usda-denies-cattle-lobby-petition-to-limit-definition-to-animal-sources/?utm_medium=Social&amp;utm_source=Twitter#Echobox=1633672368-1"/>
    <s v="geneticliteracyproject.org"/>
    <x v="9"/>
    <m/>
    <s v="https://pbs.twimg.com/profile_images/1193985020521791488/nRCt_CqI_normal.jpg"/>
    <x v="55"/>
    <d v="2021-10-08T00:00:00.000"/>
    <s v="19:40:34"/>
    <s v="https://twitter.com/geneticliteracy/status/1446561173500006411"/>
    <m/>
    <m/>
    <s v="1446561173500006411"/>
    <m/>
    <b v="0"/>
    <n v="0"/>
    <s v=""/>
    <b v="0"/>
    <s v="en"/>
    <m/>
    <s v=""/>
    <b v="0"/>
    <n v="0"/>
    <s v=""/>
    <s v="Echobox"/>
    <b v="0"/>
    <s v="1446561173500006411"/>
    <s v="Tweet"/>
    <n v="0"/>
    <n v="0"/>
    <m/>
    <m/>
    <m/>
    <m/>
    <m/>
    <m/>
    <m/>
    <m/>
    <n v="1"/>
    <s v="19"/>
    <s v="19"/>
    <n v="0"/>
    <n v="0"/>
    <n v="0"/>
    <n v="0"/>
    <n v="0"/>
    <n v="0"/>
    <n v="10"/>
    <n v="100"/>
    <n v="10"/>
  </r>
  <r>
    <s v="vsnnj"/>
    <s v="verdantsquare"/>
    <m/>
    <m/>
    <m/>
    <m/>
    <m/>
    <m/>
    <m/>
    <m/>
    <s v="No"/>
    <n v="97"/>
    <m/>
    <m/>
    <x v="4"/>
    <d v="2021-10-08T19:49:04.000"/>
    <s v="Ashton Kutcher Joins Cell-Based Meat Company to Develop 3D-Bioprinting https://t.co/vZqMGoETTX https://t.co/1td99WxiV6"/>
    <s v="https://vegnews.com/2021/10/ashton-kutcher-cell-based-meat?utm_source=dlvr.it&amp;utm_medium=twitter"/>
    <s v="vegnews.com"/>
    <x v="0"/>
    <s v="https://pbs.twimg.com/media/FBM5b_gVkAAnFsx.jpg"/>
    <s v="https://pbs.twimg.com/media/FBM5b_gVkAAnFsx.jpg"/>
    <x v="56"/>
    <d v="2021-10-08T00:00:00.000"/>
    <s v="19:49:04"/>
    <s v="https://twitter.com/vsnnj/status/1446563315379933185"/>
    <m/>
    <m/>
    <s v="1446563315379933185"/>
    <m/>
    <b v="0"/>
    <n v="0"/>
    <s v=""/>
    <b v="0"/>
    <s v="en"/>
    <m/>
    <s v=""/>
    <b v="0"/>
    <n v="2"/>
    <s v="1446563060370395137"/>
    <s v="dlvr.it"/>
    <b v="0"/>
    <s v="1446563060370395137"/>
    <s v="Tweet"/>
    <n v="0"/>
    <n v="0"/>
    <m/>
    <m/>
    <m/>
    <m/>
    <m/>
    <m/>
    <m/>
    <m/>
    <n v="1"/>
    <s v="13"/>
    <s v="13"/>
    <n v="0"/>
    <n v="0"/>
    <n v="0"/>
    <n v="0"/>
    <n v="0"/>
    <n v="0"/>
    <n v="11"/>
    <n v="100"/>
    <n v="11"/>
  </r>
  <r>
    <s v="verdantsquare"/>
    <s v="verdantsquare"/>
    <m/>
    <m/>
    <m/>
    <m/>
    <m/>
    <m/>
    <m/>
    <m/>
    <s v="No"/>
    <n v="98"/>
    <m/>
    <m/>
    <x v="0"/>
    <d v="2021-10-08T19:48:04.000"/>
    <s v="Ashton Kutcher Joins Cell-Based Meat Company to Develop 3D-Bioprinting https://t.co/vZqMGoETTX https://t.co/1td99WxiV6"/>
    <s v="https://vegnews.com/2021/10/ashton-kutcher-cell-based-meat?utm_source=dlvr.it&amp;utm_medium=twitter"/>
    <s v="vegnews.com"/>
    <x v="0"/>
    <s v="https://pbs.twimg.com/media/FBM5b_gVkAAnFsx.jpg"/>
    <s v="https://pbs.twimg.com/media/FBM5b_gVkAAnFsx.jpg"/>
    <x v="57"/>
    <d v="2021-10-08T00:00:00.000"/>
    <s v="19:48:04"/>
    <s v="https://twitter.com/verdantsquare/status/1446563060370395137"/>
    <m/>
    <m/>
    <s v="1446563060370395137"/>
    <m/>
    <b v="0"/>
    <n v="0"/>
    <s v=""/>
    <b v="0"/>
    <s v="en"/>
    <m/>
    <s v=""/>
    <b v="0"/>
    <n v="2"/>
    <s v=""/>
    <s v="dlvr.it"/>
    <b v="0"/>
    <s v="1446563060370395137"/>
    <s v="Tweet"/>
    <n v="0"/>
    <n v="0"/>
    <m/>
    <m/>
    <m/>
    <m/>
    <m/>
    <m/>
    <m/>
    <m/>
    <n v="1"/>
    <s v="13"/>
    <s v="13"/>
    <n v="0"/>
    <n v="0"/>
    <n v="0"/>
    <n v="0"/>
    <n v="0"/>
    <n v="0"/>
    <n v="11"/>
    <n v="100"/>
    <n v="11"/>
  </r>
  <r>
    <s v="vsnpenn"/>
    <s v="verdantsquare"/>
    <m/>
    <m/>
    <m/>
    <m/>
    <m/>
    <m/>
    <m/>
    <m/>
    <s v="No"/>
    <n v="99"/>
    <m/>
    <m/>
    <x v="4"/>
    <d v="2021-10-08T19:49:06.000"/>
    <s v="Ashton Kutcher Joins Cell-Based Meat Company to Develop 3D-Bioprinting https://t.co/vZqMGoETTX https://t.co/1td99WxiV6"/>
    <s v="https://vegnews.com/2021/10/ashton-kutcher-cell-based-meat?utm_source=dlvr.it&amp;utm_medium=twitter"/>
    <s v="vegnews.com"/>
    <x v="0"/>
    <s v="https://pbs.twimg.com/media/FBM5b_gVkAAnFsx.jpg"/>
    <s v="https://pbs.twimg.com/media/FBM5b_gVkAAnFsx.jpg"/>
    <x v="58"/>
    <d v="2021-10-08T00:00:00.000"/>
    <s v="19:49:06"/>
    <s v="https://twitter.com/vsnpenn/status/1446563323768557570"/>
    <m/>
    <m/>
    <s v="1446563323768557570"/>
    <m/>
    <b v="0"/>
    <n v="0"/>
    <s v=""/>
    <b v="0"/>
    <s v="en"/>
    <m/>
    <s v=""/>
    <b v="0"/>
    <n v="2"/>
    <s v="1446563060370395137"/>
    <s v="dlvr.it"/>
    <b v="0"/>
    <s v="1446563060370395137"/>
    <s v="Tweet"/>
    <n v="0"/>
    <n v="0"/>
    <m/>
    <m/>
    <m/>
    <m/>
    <m/>
    <m/>
    <m/>
    <m/>
    <n v="1"/>
    <s v="13"/>
    <s v="13"/>
    <n v="0"/>
    <n v="0"/>
    <n v="0"/>
    <n v="0"/>
    <n v="0"/>
    <n v="0"/>
    <n v="11"/>
    <n v="100"/>
    <n v="11"/>
  </r>
  <r>
    <s v="veganinsight"/>
    <s v="veganinsight"/>
    <m/>
    <m/>
    <m/>
    <m/>
    <m/>
    <m/>
    <m/>
    <m/>
    <s v="No"/>
    <n v="100"/>
    <m/>
    <m/>
    <x v="0"/>
    <d v="2021-10-08T21:18:03.000"/>
    <s v="Ashton Kutcher Joins Cell-Based Meat Company to Develop 3D Bioprinting https://t.co/0jV4K4KR1O"/>
    <s v="https://www.vegan-insight.com/ashton-kutcher-joins-cell-based-meat-company-to-develop-3d-bioprinting/"/>
    <s v="vegan-insight.com"/>
    <x v="0"/>
    <m/>
    <s v="https://pbs.twimg.com/profile_images/926539314036596736/ax78FrbV_normal.jpg"/>
    <x v="59"/>
    <d v="2021-10-08T00:00:00.000"/>
    <s v="21:18:03"/>
    <s v="https://twitter.com/veganinsight/status/1446585706902589444"/>
    <m/>
    <m/>
    <s v="1446585706902589444"/>
    <m/>
    <b v="0"/>
    <n v="0"/>
    <s v=""/>
    <b v="0"/>
    <s v="en"/>
    <m/>
    <s v=""/>
    <b v="0"/>
    <n v="0"/>
    <s v=""/>
    <s v="Vegan Insight"/>
    <b v="0"/>
    <s v="1446585706902589444"/>
    <s v="Tweet"/>
    <n v="0"/>
    <n v="0"/>
    <m/>
    <m/>
    <m/>
    <m/>
    <m/>
    <m/>
    <m/>
    <m/>
    <n v="1"/>
    <s v="2"/>
    <s v="2"/>
    <n v="0"/>
    <n v="0"/>
    <n v="0"/>
    <n v="0"/>
    <n v="0"/>
    <n v="0"/>
    <n v="11"/>
    <n v="100"/>
    <n v="11"/>
  </r>
  <r>
    <s v="moongin2100"/>
    <s v="earthaccounting"/>
    <m/>
    <m/>
    <m/>
    <m/>
    <m/>
    <m/>
    <m/>
    <m/>
    <s v="No"/>
    <n v="101"/>
    <m/>
    <m/>
    <x v="4"/>
    <d v="2021-10-09T00:02:12.000"/>
    <s v="Over 95% In #HongKong Want To Try #CellBased Meat and Seafood: Study  https://t.co/qlc90yjxbB https://t.co/ENAQLdzBQr"/>
    <s v="https://www.greenqueen.com.hk/hong-kong-cell-based-meat-study/?ct=t%28OCT+8+2020+INDUSTRY+SCOOP_COPY_01%29"/>
    <s v="com.hk"/>
    <x v="10"/>
    <s v="https://pbs.twimg.com/media/FBD5ahCUUAYHMaD.jpg"/>
    <s v="https://pbs.twimg.com/media/FBD5ahCUUAYHMaD.jpg"/>
    <x v="60"/>
    <d v="2021-10-09T00:00:00.000"/>
    <s v="00:02:12"/>
    <s v="https://twitter.com/moongin2100/status/1446627014828564483"/>
    <m/>
    <m/>
    <s v="1446627014828564483"/>
    <m/>
    <b v="0"/>
    <n v="0"/>
    <s v=""/>
    <b v="0"/>
    <s v="en"/>
    <m/>
    <s v=""/>
    <b v="0"/>
    <n v="3"/>
    <s v="1446626461897531393"/>
    <s v="Twitter Web App"/>
    <b v="0"/>
    <s v="1446626461897531393"/>
    <s v="Tweet"/>
    <n v="0"/>
    <n v="0"/>
    <m/>
    <m/>
    <m/>
    <m/>
    <m/>
    <m/>
    <m/>
    <m/>
    <n v="1"/>
    <s v="12"/>
    <s v="12"/>
    <n v="0"/>
    <n v="0"/>
    <n v="0"/>
    <n v="0"/>
    <n v="0"/>
    <n v="0"/>
    <n v="12"/>
    <n v="100"/>
    <n v="12"/>
  </r>
  <r>
    <s v="ings4palin"/>
    <s v="joerogan"/>
    <m/>
    <m/>
    <m/>
    <m/>
    <m/>
    <m/>
    <m/>
    <m/>
    <s v="No"/>
    <n v="102"/>
    <m/>
    <m/>
    <x v="1"/>
    <d v="2021-10-09T02:28:31.000"/>
    <s v="@pvtjokerus_x000a_@BerensonsGhost_x000a_@44MagnumBlue1_x000a_@jakecoco_x000a_@joerogan_x000a__x000a_enjoy your fake elk jerky_x000a__x000a_https://t.co/MNEereKqfN"/>
    <s v="https://vegnews.com/2021/10/ashton-kutcher-cell-based-meat"/>
    <s v="vegnews.com"/>
    <x v="0"/>
    <m/>
    <s v="https://pbs.twimg.com/profile_images/1425616439764037637/-E-nV6_6_normal.jpg"/>
    <x v="61"/>
    <d v="2021-10-09T00:00:00.000"/>
    <s v="02:28:31"/>
    <s v="https://twitter.com/ings4palin/status/1446663836543684610"/>
    <m/>
    <m/>
    <s v="1446663836543684610"/>
    <m/>
    <b v="0"/>
    <n v="2"/>
    <s v="1171793868"/>
    <b v="0"/>
    <s v="en"/>
    <m/>
    <s v=""/>
    <b v="0"/>
    <n v="1"/>
    <s v=""/>
    <s v="Twitter for Android"/>
    <b v="0"/>
    <s v="1446663836543684610"/>
    <s v="Tweet"/>
    <n v="0"/>
    <n v="0"/>
    <m/>
    <m/>
    <m/>
    <m/>
    <m/>
    <m/>
    <m/>
    <m/>
    <n v="1"/>
    <s v="9"/>
    <s v="9"/>
    <m/>
    <m/>
    <m/>
    <m/>
    <m/>
    <m/>
    <m/>
    <m/>
    <m/>
  </r>
  <r>
    <s v="shauncoffey"/>
    <s v="linkedin"/>
    <m/>
    <m/>
    <m/>
    <m/>
    <m/>
    <m/>
    <m/>
    <m/>
    <s v="No"/>
    <n v="107"/>
    <m/>
    <m/>
    <x v="2"/>
    <d v="2021-10-09T03:28:44.000"/>
    <s v="Check out my latest article: GFI's attempt to dismiss The Counter story on cell-based meat. https://t.co/CCqUmYNu3H via @LinkedIn"/>
    <s v="https://www.linkedin.com/pulse/gfis-attempt-dismiss-counter-story-cell-based-meat-paul-wood-ao"/>
    <s v="linkedin.com"/>
    <x v="0"/>
    <m/>
    <s v="https://pbs.twimg.com/profile_images/459261502323568640/VGRFs3QW_normal.jpeg"/>
    <x v="62"/>
    <d v="2021-10-09T00:00:00.000"/>
    <s v="03:28:44"/>
    <s v="https://twitter.com/shauncoffey/status/1446678992140918784"/>
    <m/>
    <m/>
    <s v="1446678992140918784"/>
    <m/>
    <b v="0"/>
    <n v="0"/>
    <s v=""/>
    <b v="0"/>
    <s v="en"/>
    <m/>
    <s v=""/>
    <b v="0"/>
    <n v="1"/>
    <s v="1446677173750796289"/>
    <s v="Twitter Web App"/>
    <b v="0"/>
    <s v="1446677173750796289"/>
    <s v="Tweet"/>
    <n v="0"/>
    <n v="0"/>
    <m/>
    <m/>
    <m/>
    <m/>
    <m/>
    <m/>
    <m/>
    <m/>
    <n v="1"/>
    <s v="8"/>
    <s v="8"/>
    <m/>
    <m/>
    <m/>
    <m/>
    <m/>
    <m/>
    <m/>
    <m/>
    <m/>
  </r>
  <r>
    <s v="asimkha02399869"/>
    <s v="bluenaluinc"/>
    <m/>
    <m/>
    <m/>
    <m/>
    <m/>
    <m/>
    <m/>
    <m/>
    <s v="No"/>
    <n v="109"/>
    <m/>
    <m/>
    <x v="2"/>
    <d v="2021-10-09T04:00:42.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426387832952786947/fGiQPvFE_normal.jpg"/>
    <x v="63"/>
    <d v="2021-10-09T00:00:00.000"/>
    <s v="04:00:42"/>
    <s v="https://twitter.com/asimkha02399869/status/1446687037659176962"/>
    <m/>
    <m/>
    <s v="1446687037659176962"/>
    <m/>
    <b v="0"/>
    <n v="0"/>
    <s v=""/>
    <b v="0"/>
    <s v="en"/>
    <m/>
    <s v=""/>
    <b v="0"/>
    <n v="12"/>
    <s v="1446686897695305740"/>
    <s v="Twitter for Android"/>
    <b v="0"/>
    <s v="1446686897695305740"/>
    <s v="Tweet"/>
    <n v="0"/>
    <n v="0"/>
    <m/>
    <m/>
    <m/>
    <m/>
    <m/>
    <m/>
    <m/>
    <m/>
    <n v="1"/>
    <s v="1"/>
    <s v="1"/>
    <m/>
    <m/>
    <m/>
    <m/>
    <m/>
    <m/>
    <m/>
    <m/>
    <m/>
  </r>
  <r>
    <s v="ksmohamed_sunil"/>
    <s v="bluenaluinc"/>
    <m/>
    <m/>
    <m/>
    <m/>
    <m/>
    <m/>
    <m/>
    <m/>
    <s v="No"/>
    <n v="113"/>
    <m/>
    <m/>
    <x v="2"/>
    <d v="2021-10-09T04:08:41.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3032298004/3383c00ae9195cf8f2d684781486830b_normal.jpeg"/>
    <x v="64"/>
    <d v="2021-10-09T00:00:00.000"/>
    <s v="04:08:41"/>
    <s v="https://twitter.com/ksmohamed_sunil/status/1446689047162732548"/>
    <m/>
    <m/>
    <s v="1446689047162732548"/>
    <m/>
    <b v="0"/>
    <n v="0"/>
    <s v=""/>
    <b v="0"/>
    <s v="en"/>
    <m/>
    <s v=""/>
    <b v="0"/>
    <n v="12"/>
    <s v="1446686897695305740"/>
    <s v="Twitter for iPhone"/>
    <b v="0"/>
    <s v="1446686897695305740"/>
    <s v="Tweet"/>
    <n v="0"/>
    <n v="0"/>
    <m/>
    <m/>
    <m/>
    <m/>
    <m/>
    <m/>
    <m/>
    <m/>
    <n v="1"/>
    <s v="1"/>
    <s v="1"/>
    <m/>
    <m/>
    <m/>
    <m/>
    <m/>
    <m/>
    <m/>
    <m/>
    <m/>
  </r>
  <r>
    <s v="hana_soul_hack"/>
    <s v="bluenaluinc"/>
    <m/>
    <m/>
    <m/>
    <m/>
    <m/>
    <m/>
    <m/>
    <m/>
    <s v="No"/>
    <n v="117"/>
    <m/>
    <m/>
    <x v="2"/>
    <d v="2021-10-09T04:11:26.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444843113990656002/hWT0KNYS_normal.jpg"/>
    <x v="65"/>
    <d v="2021-10-09T00:00:00.000"/>
    <s v="04:11:26"/>
    <s v="https://twitter.com/hana_soul_hack/status/1446689739155783682"/>
    <m/>
    <m/>
    <s v="1446689739155783682"/>
    <m/>
    <b v="0"/>
    <n v="0"/>
    <s v=""/>
    <b v="0"/>
    <s v="en"/>
    <m/>
    <s v=""/>
    <b v="0"/>
    <n v="12"/>
    <s v="1446686897695305740"/>
    <s v="Twitter for Android"/>
    <b v="0"/>
    <s v="1446686897695305740"/>
    <s v="Tweet"/>
    <n v="0"/>
    <n v="0"/>
    <m/>
    <m/>
    <m/>
    <m/>
    <m/>
    <m/>
    <m/>
    <m/>
    <n v="1"/>
    <s v="1"/>
    <s v="1"/>
    <m/>
    <m/>
    <m/>
    <m/>
    <m/>
    <m/>
    <m/>
    <m/>
    <m/>
  </r>
  <r>
    <s v="travermadondo"/>
    <s v="bluenaluinc"/>
    <m/>
    <m/>
    <m/>
    <m/>
    <m/>
    <m/>
    <m/>
    <m/>
    <s v="No"/>
    <n v="121"/>
    <m/>
    <m/>
    <x v="2"/>
    <d v="2021-10-09T04:19:46.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412907769376747525/W7bLBkKE_normal.jpg"/>
    <x v="66"/>
    <d v="2021-10-09T00:00:00.000"/>
    <s v="04:19:46"/>
    <s v="https://twitter.com/travermadondo/status/1446691835334778883"/>
    <m/>
    <m/>
    <s v="1446691835334778883"/>
    <m/>
    <b v="0"/>
    <n v="0"/>
    <s v=""/>
    <b v="0"/>
    <s v="en"/>
    <m/>
    <s v=""/>
    <b v="0"/>
    <n v="12"/>
    <s v="1446686897695305740"/>
    <s v="Twitter Web App"/>
    <b v="0"/>
    <s v="1446686897695305740"/>
    <s v="Tweet"/>
    <n v="0"/>
    <n v="0"/>
    <m/>
    <m/>
    <m/>
    <m/>
    <m/>
    <m/>
    <m/>
    <m/>
    <n v="1"/>
    <s v="1"/>
    <s v="1"/>
    <m/>
    <m/>
    <m/>
    <m/>
    <m/>
    <m/>
    <m/>
    <m/>
    <m/>
  </r>
  <r>
    <s v="greenassam"/>
    <s v="earthaccounting"/>
    <m/>
    <m/>
    <m/>
    <m/>
    <m/>
    <m/>
    <m/>
    <m/>
    <s v="No"/>
    <n v="125"/>
    <m/>
    <m/>
    <x v="4"/>
    <d v="2021-10-09T04:27:31.000"/>
    <s v="Over 95% In #HongKong Want To Try #CellBased Meat and Seafood: Study  https://t.co/qlc90yjxbB https://t.co/ENAQLdzBQr"/>
    <s v="https://www.greenqueen.com.hk/hong-kong-cell-based-meat-study/?ct=t%28OCT+8+2020+INDUSTRY+SCOOP_COPY_01%29"/>
    <s v="com.hk"/>
    <x v="10"/>
    <s v="https://pbs.twimg.com/media/FBD5ahCUUAYHMaD.jpg"/>
    <s v="https://pbs.twimg.com/media/FBD5ahCUUAYHMaD.jpg"/>
    <x v="67"/>
    <d v="2021-10-09T00:00:00.000"/>
    <s v="04:27:31"/>
    <s v="https://twitter.com/greenassam/status/1446693785547657217"/>
    <m/>
    <m/>
    <s v="1446693785547657217"/>
    <m/>
    <b v="0"/>
    <n v="0"/>
    <s v=""/>
    <b v="0"/>
    <s v="en"/>
    <m/>
    <s v=""/>
    <b v="0"/>
    <n v="3"/>
    <s v="1446626461897531393"/>
    <s v="Twitter for Android"/>
    <b v="0"/>
    <s v="1446626461897531393"/>
    <s v="Tweet"/>
    <n v="0"/>
    <n v="0"/>
    <m/>
    <m/>
    <m/>
    <m/>
    <m/>
    <m/>
    <m/>
    <m/>
    <n v="1"/>
    <s v="12"/>
    <s v="12"/>
    <n v="0"/>
    <n v="0"/>
    <n v="0"/>
    <n v="0"/>
    <n v="0"/>
    <n v="0"/>
    <n v="12"/>
    <n v="100"/>
    <n v="12"/>
  </r>
  <r>
    <s v="georgerowell12"/>
    <s v="bluenaluinc"/>
    <m/>
    <m/>
    <m/>
    <m/>
    <m/>
    <m/>
    <m/>
    <m/>
    <s v="No"/>
    <n v="126"/>
    <m/>
    <m/>
    <x v="2"/>
    <d v="2021-10-07T10:38:23.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442898995135729665/9EcK_O4G_normal.jpg"/>
    <x v="68"/>
    <d v="2021-10-07T00:00:00.000"/>
    <s v="10:38:23"/>
    <s v="https://twitter.com/georgerowell12/status/1446062340152205314"/>
    <m/>
    <m/>
    <s v="1446062340152205314"/>
    <m/>
    <b v="0"/>
    <n v="0"/>
    <s v=""/>
    <b v="0"/>
    <s v="en"/>
    <m/>
    <s v=""/>
    <b v="0"/>
    <n v="11"/>
    <s v="1446052745350365184"/>
    <s v="Twitter for iPhone"/>
    <b v="0"/>
    <s v="1446052745350365184"/>
    <s v="Tweet"/>
    <n v="0"/>
    <n v="0"/>
    <m/>
    <m/>
    <m/>
    <m/>
    <m/>
    <m/>
    <m/>
    <m/>
    <n v="2"/>
    <s v="1"/>
    <s v="1"/>
    <m/>
    <m/>
    <m/>
    <m/>
    <m/>
    <m/>
    <m/>
    <m/>
    <m/>
  </r>
  <r>
    <s v="georgerowell12"/>
    <s v="bluenaluinc"/>
    <m/>
    <m/>
    <m/>
    <m/>
    <m/>
    <m/>
    <m/>
    <m/>
    <s v="No"/>
    <n v="130"/>
    <m/>
    <m/>
    <x v="2"/>
    <d v="2021-10-09T04:43:55.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442898995135729665/9EcK_O4G_normal.jpg"/>
    <x v="69"/>
    <d v="2021-10-09T00:00:00.000"/>
    <s v="04:43:55"/>
    <s v="https://twitter.com/georgerowell12/status/1446697912986218496"/>
    <m/>
    <m/>
    <s v="1446697912986218496"/>
    <m/>
    <b v="0"/>
    <n v="0"/>
    <s v=""/>
    <b v="0"/>
    <s v="en"/>
    <m/>
    <s v=""/>
    <b v="0"/>
    <n v="12"/>
    <s v="1446686897695305740"/>
    <s v="Twitter for iPhone"/>
    <b v="0"/>
    <s v="1446686897695305740"/>
    <s v="Tweet"/>
    <n v="0"/>
    <n v="0"/>
    <m/>
    <m/>
    <m/>
    <m/>
    <m/>
    <m/>
    <m/>
    <m/>
    <n v="2"/>
    <s v="1"/>
    <s v="1"/>
    <m/>
    <m/>
    <m/>
    <m/>
    <m/>
    <m/>
    <m/>
    <m/>
    <m/>
  </r>
  <r>
    <s v="sadam08499791"/>
    <s v="bluenaluinc"/>
    <m/>
    <m/>
    <m/>
    <m/>
    <m/>
    <m/>
    <m/>
    <m/>
    <s v="No"/>
    <n v="134"/>
    <m/>
    <m/>
    <x v="2"/>
    <d v="2021-10-09T04:58:23.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abs.twimg.com/sticky/default_profile_images/default_profile_normal.png"/>
    <x v="70"/>
    <d v="2021-10-09T00:00:00.000"/>
    <s v="04:58:23"/>
    <s v="https://twitter.com/sadam08499791/status/1446701552593473537"/>
    <m/>
    <m/>
    <s v="1446701552593473537"/>
    <m/>
    <b v="0"/>
    <n v="0"/>
    <s v=""/>
    <b v="0"/>
    <s v="en"/>
    <m/>
    <s v=""/>
    <b v="0"/>
    <n v="12"/>
    <s v="1446686897695305740"/>
    <s v="Twitter for Android"/>
    <b v="0"/>
    <s v="1446686897695305740"/>
    <s v="Tweet"/>
    <n v="0"/>
    <n v="0"/>
    <m/>
    <m/>
    <m/>
    <m/>
    <m/>
    <m/>
    <m/>
    <m/>
    <n v="1"/>
    <s v="1"/>
    <s v="1"/>
    <m/>
    <m/>
    <m/>
    <m/>
    <m/>
    <m/>
    <m/>
    <m/>
    <m/>
  </r>
  <r>
    <s v="orbitalgardens"/>
    <s v="bluenaluinc"/>
    <m/>
    <m/>
    <m/>
    <m/>
    <m/>
    <m/>
    <m/>
    <m/>
    <s v="No"/>
    <n v="138"/>
    <m/>
    <m/>
    <x v="2"/>
    <d v="2021-10-09T07:44:49.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276126604767506432/v5TAI32z_normal.jpg"/>
    <x v="71"/>
    <d v="2021-10-09T00:00:00.000"/>
    <s v="07:44:49"/>
    <s v="https://twitter.com/orbitalgardens/status/1446743439819816960"/>
    <m/>
    <m/>
    <s v="1446743439819816960"/>
    <m/>
    <b v="0"/>
    <n v="0"/>
    <s v=""/>
    <b v="0"/>
    <s v="en"/>
    <m/>
    <s v=""/>
    <b v="0"/>
    <n v="12"/>
    <s v="1446686897695305740"/>
    <s v="Twitter Web App"/>
    <b v="0"/>
    <s v="1446686897695305740"/>
    <s v="Tweet"/>
    <n v="0"/>
    <n v="0"/>
    <m/>
    <m/>
    <m/>
    <m/>
    <m/>
    <m/>
    <m/>
    <m/>
    <n v="1"/>
    <s v="1"/>
    <s v="1"/>
    <m/>
    <m/>
    <m/>
    <m/>
    <m/>
    <m/>
    <m/>
    <m/>
    <m/>
  </r>
  <r>
    <s v="loucoop18"/>
    <s v="bluenaluinc"/>
    <m/>
    <m/>
    <m/>
    <m/>
    <m/>
    <m/>
    <m/>
    <m/>
    <s v="No"/>
    <n v="142"/>
    <m/>
    <m/>
    <x v="2"/>
    <d v="2021-10-09T08:05:41.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291052047643471872/WtgzbTp7_normal.jpg"/>
    <x v="72"/>
    <d v="2021-10-09T00:00:00.000"/>
    <s v="08:05:41"/>
    <s v="https://twitter.com/loucoop18/status/1446748690081738754"/>
    <m/>
    <m/>
    <s v="1446748690081738754"/>
    <m/>
    <b v="0"/>
    <n v="0"/>
    <s v=""/>
    <b v="0"/>
    <s v="en"/>
    <m/>
    <s v=""/>
    <b v="0"/>
    <n v="12"/>
    <s v="1446686897695305740"/>
    <s v="Twitter for iPhone"/>
    <b v="0"/>
    <s v="1446686897695305740"/>
    <s v="Tweet"/>
    <n v="0"/>
    <n v="0"/>
    <m/>
    <m/>
    <m/>
    <m/>
    <m/>
    <m/>
    <m/>
    <m/>
    <n v="1"/>
    <s v="1"/>
    <s v="1"/>
    <m/>
    <m/>
    <m/>
    <m/>
    <m/>
    <m/>
    <m/>
    <m/>
    <m/>
  </r>
  <r>
    <s v="reginabanali"/>
    <s v="reginabanali"/>
    <m/>
    <m/>
    <m/>
    <m/>
    <m/>
    <m/>
    <m/>
    <m/>
    <s v="No"/>
    <n v="146"/>
    <m/>
    <m/>
    <x v="0"/>
    <d v="2021-10-09T16:37:00.000"/>
    <s v="Ashton Kutcher Joins Cell-Based Meat Company to Develop 3D Bioprinting https://t.co/oRTSpQDINQ"/>
    <s v="https://vegnews.com/2021/10/ashton-kutcher-cell-based-meat?utm_campaign=meetedgar&amp;utm_medium=social&amp;utm_source=meetedgar.com"/>
    <s v="vegnews.com"/>
    <x v="0"/>
    <m/>
    <s v="https://pbs.twimg.com/profile_images/1189786051981795328/Yq32o3Co_normal.jpg"/>
    <x v="73"/>
    <d v="2021-10-09T00:00:00.000"/>
    <s v="16:37:00"/>
    <s v="https://twitter.com/reginabanali/status/1446877367541116932"/>
    <m/>
    <m/>
    <s v="1446877367541116932"/>
    <m/>
    <b v="0"/>
    <n v="0"/>
    <s v=""/>
    <b v="0"/>
    <s v="en"/>
    <m/>
    <s v=""/>
    <b v="0"/>
    <n v="0"/>
    <s v=""/>
    <s v="MeetEdgar"/>
    <b v="0"/>
    <s v="1446877367541116932"/>
    <s v="Tweet"/>
    <n v="0"/>
    <n v="0"/>
    <m/>
    <m/>
    <m/>
    <m/>
    <m/>
    <m/>
    <m/>
    <m/>
    <n v="1"/>
    <s v="2"/>
    <s v="2"/>
    <n v="0"/>
    <n v="0"/>
    <n v="0"/>
    <n v="0"/>
    <n v="0"/>
    <n v="0"/>
    <n v="11"/>
    <n v="100"/>
    <n v="11"/>
  </r>
  <r>
    <s v="ale6altrove"/>
    <s v="meatech3d"/>
    <m/>
    <m/>
    <m/>
    <m/>
    <m/>
    <m/>
    <m/>
    <m/>
    <s v="No"/>
    <n v="147"/>
    <m/>
    <m/>
    <x v="2"/>
    <d v="2021-10-09T19:16:45.000"/>
    <s v="If 3D printed meat made without animals takes off, you might have @aplusk to thank. #AshtonKutcher #slaughterfree @MeaTech3D _x000a__x000a_https://t.co/D4Hkw5GiJI"/>
    <s v="https://vegnews.com/2021/10/ashton-kutcher-cell-based-meat"/>
    <s v="vegnews.com"/>
    <x v="11"/>
    <m/>
    <s v="https://pbs.twimg.com/profile_images/1062606485388230656/HKxQrNsP_normal.jpg"/>
    <x v="74"/>
    <d v="2021-10-09T00:00:00.000"/>
    <s v="19:16:45"/>
    <s v="https://twitter.com/ale6altrove/status/1446917569018056705"/>
    <m/>
    <m/>
    <s v="1446917569018056705"/>
    <m/>
    <b v="0"/>
    <n v="0"/>
    <s v=""/>
    <b v="0"/>
    <s v="en"/>
    <m/>
    <s v=""/>
    <b v="0"/>
    <n v="6"/>
    <s v="1446886176443539461"/>
    <s v="Twitter for iPhone"/>
    <b v="0"/>
    <s v="1446886176443539461"/>
    <s v="Tweet"/>
    <n v="0"/>
    <n v="0"/>
    <m/>
    <m/>
    <m/>
    <m/>
    <m/>
    <m/>
    <m/>
    <m/>
    <n v="1"/>
    <s v="4"/>
    <s v="4"/>
    <m/>
    <m/>
    <m/>
    <m/>
    <m/>
    <m/>
    <m/>
    <m/>
    <m/>
  </r>
  <r>
    <s v="pepe_nature"/>
    <s v="meatech3d"/>
    <m/>
    <m/>
    <m/>
    <m/>
    <m/>
    <m/>
    <m/>
    <m/>
    <s v="No"/>
    <n v="150"/>
    <m/>
    <m/>
    <x v="2"/>
    <d v="2021-10-09T19:24:15.000"/>
    <s v="If 3D printed meat made without animals takes off, you might have @aplusk to thank. #AshtonKutcher #slaughterfree @MeaTech3D _x000a__x000a_https://t.co/D4Hkw5GiJI"/>
    <s v="https://vegnews.com/2021/10/ashton-kutcher-cell-based-meat"/>
    <s v="vegnews.com"/>
    <x v="11"/>
    <m/>
    <s v="https://pbs.twimg.com/profile_images/1310579955814862850/zkg07N2g_normal.jpg"/>
    <x v="75"/>
    <d v="2021-10-09T00:00:00.000"/>
    <s v="19:24:15"/>
    <s v="https://twitter.com/pepe_nature/status/1446919457398460420"/>
    <m/>
    <m/>
    <s v="1446919457398460420"/>
    <m/>
    <b v="0"/>
    <n v="0"/>
    <s v=""/>
    <b v="0"/>
    <s v="en"/>
    <m/>
    <s v=""/>
    <b v="0"/>
    <n v="6"/>
    <s v="1446886176443539461"/>
    <s v="Twitter for Android"/>
    <b v="0"/>
    <s v="1446886176443539461"/>
    <s v="Tweet"/>
    <n v="0"/>
    <n v="0"/>
    <m/>
    <m/>
    <m/>
    <m/>
    <m/>
    <m/>
    <m/>
    <m/>
    <n v="1"/>
    <s v="4"/>
    <s v="4"/>
    <m/>
    <m/>
    <m/>
    <m/>
    <m/>
    <m/>
    <m/>
    <m/>
    <m/>
  </r>
  <r>
    <s v="sdelagrave"/>
    <s v="bluenaluinc"/>
    <m/>
    <m/>
    <m/>
    <m/>
    <m/>
    <m/>
    <m/>
    <m/>
    <s v="No"/>
    <n v="153"/>
    <m/>
    <m/>
    <x v="2"/>
    <d v="2021-10-09T23:03:32.000"/>
    <s v="On “Babbage”, with @jonfasman:_x000a_- Could lab-grown and plant-based meat be the future of food?_x000a_- @GrownUnder explores the merits of vertical farming_x000a_- How cell-cultured seafood from @BlueNaluInc could replace traditional fish farming https://t.co/k2AeKt6hlz"/>
    <s v="https://www.economist.com/podcasts/2021/10/05/a-new-anthropocene-diet-the-future-of-food?utm_campaign=editorial-social&amp;utm_medium=social-organic&amp;utm_source=twitter"/>
    <s v="economist.com"/>
    <x v="0"/>
    <m/>
    <s v="https://pbs.twimg.com/profile_images/1134927635258195969/Nq76xWb4_normal.png"/>
    <x v="76"/>
    <d v="2021-10-09T00:00:00.000"/>
    <s v="23:03:32"/>
    <s v="https://twitter.com/sdelagrave/status/1446974642279833603"/>
    <m/>
    <m/>
    <s v="1446974642279833603"/>
    <m/>
    <b v="0"/>
    <n v="0"/>
    <s v=""/>
    <b v="0"/>
    <s v="en"/>
    <m/>
    <s v=""/>
    <b v="0"/>
    <n v="1"/>
    <s v="1446974031413092360"/>
    <s v="Twitter for iPhone"/>
    <b v="0"/>
    <s v="1446974031413092360"/>
    <s v="Tweet"/>
    <n v="0"/>
    <n v="0"/>
    <m/>
    <m/>
    <m/>
    <m/>
    <m/>
    <m/>
    <m/>
    <m/>
    <n v="1"/>
    <s v="1"/>
    <s v="1"/>
    <m/>
    <m/>
    <m/>
    <m/>
    <m/>
    <m/>
    <m/>
    <m/>
    <m/>
  </r>
  <r>
    <s v="paulwood1508"/>
    <s v="linkedin"/>
    <m/>
    <m/>
    <m/>
    <m/>
    <m/>
    <m/>
    <m/>
    <m/>
    <s v="No"/>
    <n v="157"/>
    <m/>
    <m/>
    <x v="1"/>
    <d v="2021-10-09T03:21:30.000"/>
    <s v="Check out my latest article: GFI's attempt to dismiss The Counter story on cell-based meat. https://t.co/CCqUmYNu3H via @LinkedIn"/>
    <s v="https://www.linkedin.com/pulse/gfis-attempt-dismiss-counter-story-cell-based-meat-paul-wood-ao"/>
    <s v="linkedin.com"/>
    <x v="0"/>
    <m/>
    <s v="https://pbs.twimg.com/profile_images/707096446005170176/qy74n7N3_normal.jpg"/>
    <x v="77"/>
    <d v="2021-10-09T00:00:00.000"/>
    <s v="03:21:30"/>
    <s v="https://twitter.com/paulwood1508/status/1446677173750796289"/>
    <m/>
    <m/>
    <s v="1446677173750796289"/>
    <m/>
    <b v="0"/>
    <n v="1"/>
    <s v=""/>
    <b v="0"/>
    <s v="en"/>
    <m/>
    <s v=""/>
    <b v="0"/>
    <n v="1"/>
    <s v=""/>
    <s v="Twitter Web App"/>
    <b v="0"/>
    <s v="1446677173750796289"/>
    <s v="Tweet"/>
    <n v="0"/>
    <n v="0"/>
    <m/>
    <m/>
    <m/>
    <m/>
    <m/>
    <m/>
    <m/>
    <m/>
    <n v="1"/>
    <s v="8"/>
    <s v="8"/>
    <n v="0"/>
    <n v="0"/>
    <n v="0"/>
    <n v="0"/>
    <n v="0"/>
    <n v="0"/>
    <n v="18"/>
    <n v="100"/>
    <n v="18"/>
  </r>
  <r>
    <s v="paulwood1508"/>
    <s v="ghgguru"/>
    <m/>
    <m/>
    <m/>
    <m/>
    <m/>
    <m/>
    <m/>
    <m/>
    <s v="No"/>
    <n v="158"/>
    <m/>
    <m/>
    <x v="1"/>
    <d v="2021-10-10T05:23:47.000"/>
    <s v="@berkeleyrabe @David_Griso @GHGGuru Have a read of Joe Fassler's article in The Counter cell-based meat at scale is unlikely"/>
    <m/>
    <m/>
    <x v="0"/>
    <m/>
    <s v="https://pbs.twimg.com/profile_images/707096446005170176/qy74n7N3_normal.jpg"/>
    <x v="78"/>
    <d v="2021-10-10T00:00:00.000"/>
    <s v="05:23:47"/>
    <s v="https://twitter.com/paulwood1508/status/1447070331923886086"/>
    <m/>
    <m/>
    <s v="1447070331923886086"/>
    <s v="1446912127441145859"/>
    <b v="0"/>
    <n v="1"/>
    <s v="1383635457829851137"/>
    <b v="0"/>
    <s v="en"/>
    <m/>
    <s v=""/>
    <b v="0"/>
    <n v="0"/>
    <s v=""/>
    <s v="Twitter Web App"/>
    <b v="0"/>
    <s v="1446912127441145859"/>
    <s v="Tweet"/>
    <n v="0"/>
    <n v="0"/>
    <m/>
    <m/>
    <m/>
    <m/>
    <m/>
    <m/>
    <m/>
    <m/>
    <n v="1"/>
    <s v="8"/>
    <s v="8"/>
    <m/>
    <m/>
    <m/>
    <m/>
    <m/>
    <m/>
    <m/>
    <m/>
    <m/>
  </r>
  <r>
    <s v="carlokarl"/>
    <s v="meatech3d"/>
    <m/>
    <m/>
    <m/>
    <m/>
    <m/>
    <m/>
    <m/>
    <m/>
    <s v="No"/>
    <n v="161"/>
    <m/>
    <m/>
    <x v="2"/>
    <d v="2021-10-10T06:03:26.000"/>
    <s v="If 3D printed meat made without animals takes off, you might have @aplusk to thank. #AshtonKutcher #slaughterfree @MeaTech3D _x000a__x000a_https://t.co/D4Hkw5GiJI"/>
    <s v="https://vegnews.com/2021/10/ashton-kutcher-cell-based-meat"/>
    <s v="vegnews.com"/>
    <x v="11"/>
    <m/>
    <s v="https://pbs.twimg.com/profile_images/523095595616329728/_pnP48fE_normal.jpeg"/>
    <x v="79"/>
    <d v="2021-10-10T00:00:00.000"/>
    <s v="06:03:26"/>
    <s v="https://twitter.com/carlokarl/status/1447080313717497858"/>
    <m/>
    <m/>
    <s v="1447080313717497858"/>
    <m/>
    <b v="0"/>
    <n v="0"/>
    <s v=""/>
    <b v="0"/>
    <s v="en"/>
    <m/>
    <s v=""/>
    <b v="0"/>
    <n v="6"/>
    <s v="1446886176443539461"/>
    <s v="Twitter for Android"/>
    <b v="0"/>
    <s v="1446886176443539461"/>
    <s v="Tweet"/>
    <n v="0"/>
    <n v="0"/>
    <m/>
    <m/>
    <m/>
    <m/>
    <m/>
    <m/>
    <m/>
    <m/>
    <n v="1"/>
    <s v="4"/>
    <s v="4"/>
    <m/>
    <m/>
    <m/>
    <m/>
    <m/>
    <m/>
    <m/>
    <m/>
    <m/>
  </r>
  <r>
    <s v="upcells"/>
    <s v="upcells"/>
    <m/>
    <m/>
    <m/>
    <m/>
    <m/>
    <m/>
    <m/>
    <m/>
    <s v="No"/>
    <n v="164"/>
    <m/>
    <m/>
    <x v="0"/>
    <d v="2021-10-10T06:29:52.000"/>
    <s v="Cell proliferation, cell differentiation, and ordering of cells (via cellular scaffold or 3D bioprinting) are the general initial steps for 'building' the cell-based meat like cell paste and molded meat."/>
    <m/>
    <m/>
    <x v="0"/>
    <m/>
    <s v="https://pbs.twimg.com/profile_images/762787443305132032/VUiES7w9_normal.jpg"/>
    <x v="80"/>
    <d v="2021-10-10T00:00:00.000"/>
    <s v="06:29:52"/>
    <s v="https://twitter.com/upcells/status/1447086965740826626"/>
    <m/>
    <m/>
    <s v="1447086965740826626"/>
    <s v="1447086516166021120"/>
    <b v="0"/>
    <n v="6"/>
    <s v="1592844931"/>
    <b v="0"/>
    <s v="en"/>
    <m/>
    <s v=""/>
    <b v="0"/>
    <n v="1"/>
    <s v=""/>
    <s v="Twitter Web App"/>
    <b v="0"/>
    <s v="1447086516166021120"/>
    <s v="Tweet"/>
    <n v="0"/>
    <n v="0"/>
    <m/>
    <m/>
    <m/>
    <m/>
    <m/>
    <m/>
    <m/>
    <m/>
    <n v="2"/>
    <s v="18"/>
    <s v="18"/>
    <n v="1"/>
    <n v="3.225806451612903"/>
    <n v="0"/>
    <n v="0"/>
    <n v="0"/>
    <n v="0"/>
    <n v="30"/>
    <n v="96.7741935483871"/>
    <n v="31"/>
  </r>
  <r>
    <s v="upcells"/>
    <s v="upcells"/>
    <m/>
    <m/>
    <m/>
    <m/>
    <m/>
    <m/>
    <m/>
    <m/>
    <s v="No"/>
    <n v="165"/>
    <m/>
    <m/>
    <x v="0"/>
    <d v="2021-10-10T06:42:19.000"/>
    <s v="In countries abundant in ocean waters like Japan, Singapore, &amp;amp; the Philippines, farming a microalgae culture on the sea surface to make the essential basal medium in crafting cell-based meat would make this endeavor more feasible that could even make our food security possible."/>
    <m/>
    <m/>
    <x v="0"/>
    <m/>
    <s v="https://pbs.twimg.com/profile_images/762787443305132032/VUiES7w9_normal.jpg"/>
    <x v="81"/>
    <d v="2021-10-10T00:00:00.000"/>
    <s v="06:42:19"/>
    <s v="https://twitter.com/upcells/status/1447090098625925122"/>
    <m/>
    <m/>
    <s v="1447090098625925122"/>
    <s v="1447089330699202564"/>
    <b v="0"/>
    <n v="6"/>
    <s v="1592844931"/>
    <b v="0"/>
    <s v="en"/>
    <m/>
    <s v=""/>
    <b v="0"/>
    <n v="1"/>
    <s v=""/>
    <s v="Twitter Web App"/>
    <b v="0"/>
    <s v="1447089330699202564"/>
    <s v="Tweet"/>
    <n v="0"/>
    <n v="0"/>
    <m/>
    <m/>
    <m/>
    <m/>
    <m/>
    <m/>
    <m/>
    <m/>
    <n v="2"/>
    <s v="18"/>
    <s v="18"/>
    <n v="3"/>
    <n v="6.666666666666667"/>
    <n v="0"/>
    <n v="0"/>
    <n v="0"/>
    <n v="0"/>
    <n v="42"/>
    <n v="93.33333333333333"/>
    <n v="45"/>
  </r>
  <r>
    <s v="hoycristel"/>
    <s v="upcells"/>
    <m/>
    <m/>
    <m/>
    <m/>
    <m/>
    <m/>
    <m/>
    <m/>
    <s v="No"/>
    <n v="166"/>
    <m/>
    <m/>
    <x v="4"/>
    <d v="2021-10-10T07:04:09.000"/>
    <s v="Cell proliferation, cell differentiation, and ordering of cells (via cellular scaffold or 3D bioprinting) are the general initial steps for 'building' the cell-based meat like cell paste and molded meat."/>
    <m/>
    <m/>
    <x v="0"/>
    <m/>
    <s v="https://pbs.twimg.com/profile_images/1434785434509340681/s7DHMbZw_normal.jpg"/>
    <x v="82"/>
    <d v="2021-10-10T00:00:00.000"/>
    <s v="07:04:09"/>
    <s v="https://twitter.com/hoycristel/status/1447095589947133953"/>
    <m/>
    <m/>
    <s v="1447095589947133953"/>
    <m/>
    <b v="0"/>
    <n v="0"/>
    <s v=""/>
    <b v="0"/>
    <s v="en"/>
    <m/>
    <s v=""/>
    <b v="0"/>
    <n v="1"/>
    <s v="1447086965740826626"/>
    <s v="Twitter for Android"/>
    <b v="0"/>
    <s v="1447086965740826626"/>
    <s v="Tweet"/>
    <n v="0"/>
    <n v="0"/>
    <m/>
    <m/>
    <m/>
    <m/>
    <m/>
    <m/>
    <m/>
    <m/>
    <n v="2"/>
    <s v="18"/>
    <s v="18"/>
    <n v="1"/>
    <n v="3.225806451612903"/>
    <n v="0"/>
    <n v="0"/>
    <n v="0"/>
    <n v="0"/>
    <n v="30"/>
    <n v="96.7741935483871"/>
    <n v="31"/>
  </r>
  <r>
    <s v="hoycristel"/>
    <s v="upcells"/>
    <m/>
    <m/>
    <m/>
    <m/>
    <m/>
    <m/>
    <m/>
    <m/>
    <s v="No"/>
    <n v="167"/>
    <m/>
    <m/>
    <x v="4"/>
    <d v="2021-10-10T07:04:23.000"/>
    <s v="In countries abundant in ocean waters like Japan, Singapore, &amp;amp; the Philippines, farming a microalgae culture on the sea surface to make the essential basal medium in crafting cell-based meat would make this endeavor more feasible that could even make our food security possible."/>
    <m/>
    <m/>
    <x v="0"/>
    <m/>
    <s v="https://pbs.twimg.com/profile_images/1434785434509340681/s7DHMbZw_normal.jpg"/>
    <x v="83"/>
    <d v="2021-10-10T00:00:00.000"/>
    <s v="07:04:23"/>
    <s v="https://twitter.com/hoycristel/status/1447095648998723584"/>
    <m/>
    <m/>
    <s v="1447095648998723584"/>
    <m/>
    <b v="0"/>
    <n v="0"/>
    <s v=""/>
    <b v="0"/>
    <s v="en"/>
    <m/>
    <s v=""/>
    <b v="0"/>
    <n v="1"/>
    <s v="1447090098625925122"/>
    <s v="Twitter for Android"/>
    <b v="0"/>
    <s v="1447090098625925122"/>
    <s v="Tweet"/>
    <n v="0"/>
    <n v="0"/>
    <m/>
    <m/>
    <m/>
    <m/>
    <m/>
    <m/>
    <m/>
    <m/>
    <n v="2"/>
    <s v="18"/>
    <s v="18"/>
    <n v="3"/>
    <n v="6.666666666666667"/>
    <n v="0"/>
    <n v="0"/>
    <n v="0"/>
    <n v="0"/>
    <n v="42"/>
    <n v="93.33333333333333"/>
    <n v="45"/>
  </r>
  <r>
    <s v="rtopitsch"/>
    <s v="vegnews"/>
    <m/>
    <m/>
    <m/>
    <m/>
    <m/>
    <m/>
    <m/>
    <m/>
    <s v="No"/>
    <n v="168"/>
    <m/>
    <m/>
    <x v="1"/>
    <d v="2021-10-09T22:11:44.000"/>
    <s v="Ashton Kutcher Joins Cell-Based Meat Company to Develop 3D Bioprinting  https://t.co/zWQfO7Pitk via @VegNews"/>
    <s v="https://vegnews.com/2021/10/ashton-kutcher-cell-based-meat"/>
    <s v="vegnews.com"/>
    <x v="0"/>
    <m/>
    <s v="https://pbs.twimg.com/profile_images/1423781100762112000/RPH1_nn-_normal.jpg"/>
    <x v="84"/>
    <d v="2021-10-09T00:00:00.000"/>
    <s v="22:11:44"/>
    <s v="https://twitter.com/rtopitsch/status/1446961604998881280"/>
    <m/>
    <m/>
    <s v="1446961604998881280"/>
    <m/>
    <b v="0"/>
    <n v="2"/>
    <s v=""/>
    <b v="0"/>
    <s v="en"/>
    <m/>
    <s v=""/>
    <b v="0"/>
    <n v="1"/>
    <s v=""/>
    <s v="Twitter Web App"/>
    <b v="0"/>
    <s v="1446961604998881280"/>
    <s v="Tweet"/>
    <n v="0"/>
    <n v="0"/>
    <m/>
    <m/>
    <m/>
    <m/>
    <m/>
    <m/>
    <m/>
    <m/>
    <n v="1"/>
    <s v="4"/>
    <s v="4"/>
    <n v="0"/>
    <n v="0"/>
    <n v="0"/>
    <n v="0"/>
    <n v="0"/>
    <n v="0"/>
    <n v="13"/>
    <n v="100"/>
    <n v="13"/>
  </r>
  <r>
    <s v="augustakaiserin"/>
    <s v="rtopitsch"/>
    <m/>
    <m/>
    <m/>
    <m/>
    <m/>
    <m/>
    <m/>
    <m/>
    <s v="No"/>
    <n v="169"/>
    <m/>
    <m/>
    <x v="4"/>
    <d v="2021-10-10T11:12:01.000"/>
    <s v="Ashton Kutcher Joins Cell-Based Meat Company to Develop 3D Bioprinting  https://t.co/zWQfO7Pitk via @VegNews"/>
    <s v="https://vegnews.com/2021/10/ashton-kutcher-cell-based-meat"/>
    <s v="vegnews.com"/>
    <x v="0"/>
    <m/>
    <s v="https://pbs.twimg.com/profile_images/1095176099066245120/w7NpPKkN_normal.jpg"/>
    <x v="85"/>
    <d v="2021-10-10T00:00:00.000"/>
    <s v="11:12:01"/>
    <s v="https://twitter.com/augustakaiserin/status/1447157971591565315"/>
    <m/>
    <m/>
    <s v="1447157971591565315"/>
    <m/>
    <b v="0"/>
    <n v="0"/>
    <s v=""/>
    <b v="0"/>
    <s v="en"/>
    <m/>
    <s v=""/>
    <b v="0"/>
    <n v="1"/>
    <s v="1446961604998881280"/>
    <s v="Twitter for Android"/>
    <b v="0"/>
    <s v="1446961604998881280"/>
    <s v="Tweet"/>
    <n v="0"/>
    <n v="0"/>
    <m/>
    <m/>
    <m/>
    <m/>
    <m/>
    <m/>
    <m/>
    <m/>
    <n v="1"/>
    <s v="4"/>
    <s v="4"/>
    <m/>
    <m/>
    <m/>
    <m/>
    <m/>
    <m/>
    <m/>
    <m/>
    <m/>
  </r>
  <r>
    <s v="foodtechmatters"/>
    <s v="foodtechmatters"/>
    <m/>
    <m/>
    <m/>
    <m/>
    <m/>
    <m/>
    <m/>
    <m/>
    <s v="No"/>
    <n v="171"/>
    <m/>
    <m/>
    <x v="0"/>
    <d v="2021-10-10T13:00:00.000"/>
    <s v="Leonardo DiCaprio invests in cell-based meat company Mosa Meat - Food Matters Live https://t.co/P0g4BE6q1y _x000a__x000a_Stay ahead of the game and sign-up to our newsletters here: https://t.co/8VvMV4lXB0 https://t.co/KthaJSEhKK"/>
    <s v="https://foodmatterslive.com/discover/article/leonardo-dicaprio-invests-in-cell-based-meat-company-mosa-meat/?utm_content=182818991&amp;utm_medium=social&amp;utm_source=twitter&amp;hss_channel=tw-1019912923521671169 https://bit.ly/3zlclnd?utm_content=182818991&amp;utm_medium=social&amp;utm_source=twitter&amp;hss_channel=tw-1019912923521671169"/>
    <s v="foodmatterslive.com bit.ly"/>
    <x v="0"/>
    <s v="https://pbs.twimg.com/media/FBVvODCWQAAcoI4.jpg"/>
    <s v="https://pbs.twimg.com/media/FBVvODCWQAAcoI4.jpg"/>
    <x v="86"/>
    <d v="2021-10-10T00:00:00.000"/>
    <s v="13:00:00"/>
    <s v="https://twitter.com/foodtechmatters/status/1447185144364818435"/>
    <m/>
    <m/>
    <s v="1447185144364818435"/>
    <m/>
    <b v="0"/>
    <n v="1"/>
    <s v=""/>
    <b v="0"/>
    <s v="en"/>
    <m/>
    <s v=""/>
    <b v="0"/>
    <n v="0"/>
    <s v=""/>
    <s v="HubSpot"/>
    <b v="0"/>
    <s v="1447185144364818435"/>
    <s v="Tweet"/>
    <n v="0"/>
    <n v="0"/>
    <m/>
    <m/>
    <m/>
    <m/>
    <m/>
    <m/>
    <m/>
    <m/>
    <n v="1"/>
    <s v="2"/>
    <s v="2"/>
    <n v="0"/>
    <n v="0"/>
    <n v="0"/>
    <n v="0"/>
    <n v="0"/>
    <n v="0"/>
    <n v="25"/>
    <n v="100"/>
    <n v="25"/>
  </r>
  <r>
    <s v="jungian_soul"/>
    <s v="jungian_soul"/>
    <m/>
    <m/>
    <m/>
    <m/>
    <m/>
    <m/>
    <m/>
    <m/>
    <s v="No"/>
    <n v="172"/>
    <m/>
    <m/>
    <x v="0"/>
    <d v="2021-10-07T06:09:32.000"/>
    <s v="Agrifood_x000a_- meat and meat processing _x000a_Roll out the cell based meat _x000a__x000a_Innovate to Grow: Agrifood: (https://t.co/rL9HNSvbx3) https://t.co/iLuiLLImO5"/>
    <s v="https://www.csiro.au/en/work-with-us/funding-programs/programs/Innovate-to-Grow/Agrifood"/>
    <s v="csiro.au"/>
    <x v="0"/>
    <s v="https://pbs.twimg.com/media/FBE0W0WUUAIIMV3.jpg"/>
    <s v="https://pbs.twimg.com/media/FBE0W0WUUAIIMV3.jpg"/>
    <x v="87"/>
    <d v="2021-10-07T00:00:00.000"/>
    <s v="06:09:32"/>
    <s v="https://twitter.com/jungian_soul/status/1445994685445513216"/>
    <m/>
    <m/>
    <s v="1445994685445513216"/>
    <m/>
    <b v="0"/>
    <n v="0"/>
    <s v=""/>
    <b v="0"/>
    <s v="en"/>
    <m/>
    <s v=""/>
    <b v="0"/>
    <n v="0"/>
    <s v=""/>
    <s v="Twitter Web App"/>
    <b v="0"/>
    <s v="1445994685445513216"/>
    <s v="Tweet"/>
    <n v="0"/>
    <n v="0"/>
    <m/>
    <m/>
    <m/>
    <m/>
    <m/>
    <m/>
    <m/>
    <m/>
    <n v="6"/>
    <s v="14"/>
    <s v="14"/>
    <n v="0"/>
    <n v="0"/>
    <n v="0"/>
    <n v="0"/>
    <n v="0"/>
    <n v="0"/>
    <n v="19"/>
    <n v="100"/>
    <n v="19"/>
  </r>
  <r>
    <s v="jungian_soul"/>
    <s v="jungian_soul"/>
    <m/>
    <m/>
    <m/>
    <m/>
    <m/>
    <m/>
    <m/>
    <m/>
    <s v="No"/>
    <n v="173"/>
    <m/>
    <m/>
    <x v="0"/>
    <d v="2021-10-07T06:46:00.000"/>
    <s v="Australian Company To Create Cell-Based Meat From 'Exotic' Animals Like Kangaroo And Lion https://t.co/I5LIRuMN9K"/>
    <s v="https://plantbasednews.org/news/australian-company-create-cell-based-meat-from-exotic-animals/"/>
    <s v="plantbasednews.org"/>
    <x v="0"/>
    <m/>
    <s v="https://pbs.twimg.com/profile_images/1443256995302178819/_RscXDoK_normal.jpg"/>
    <x v="88"/>
    <d v="2021-10-07T00:00:00.000"/>
    <s v="06:46:00"/>
    <s v="https://twitter.com/jungian_soul/status/1446003859038478338"/>
    <m/>
    <m/>
    <s v="1446003859038478338"/>
    <m/>
    <b v="0"/>
    <n v="4"/>
    <s v=""/>
    <b v="0"/>
    <s v="en"/>
    <m/>
    <s v=""/>
    <b v="0"/>
    <n v="4"/>
    <s v=""/>
    <s v="Twitter Web App"/>
    <b v="0"/>
    <s v="1446003859038478338"/>
    <s v="Tweet"/>
    <n v="0"/>
    <n v="0"/>
    <m/>
    <m/>
    <m/>
    <m/>
    <m/>
    <m/>
    <m/>
    <m/>
    <n v="6"/>
    <s v="14"/>
    <s v="14"/>
    <n v="1"/>
    <n v="7.142857142857143"/>
    <n v="0"/>
    <n v="0"/>
    <n v="0"/>
    <n v="0"/>
    <n v="13"/>
    <n v="92.85714285714286"/>
    <n v="14"/>
  </r>
  <r>
    <s v="jungian_soul"/>
    <s v="jungian_soul"/>
    <m/>
    <m/>
    <m/>
    <m/>
    <m/>
    <m/>
    <m/>
    <m/>
    <s v="No"/>
    <n v="174"/>
    <m/>
    <m/>
    <x v="0"/>
    <d v="2021-10-07T06:47:07.000"/>
    <s v="Cell based meat. _x000a_“Australian” companies foreign owned , Victoria seems to be in the lead .._x000a__x000a_Most Meat In 2040 'Will Be Vegan Or Cultured - Not From Dead Animals', Says Report https://t.co/ts4RdK08xs"/>
    <s v="https://plantbasednews.org/lifestyle/60-meat-2040-vegan-cultured-not-dead-animals/"/>
    <s v="plantbasednews.org"/>
    <x v="0"/>
    <m/>
    <s v="https://pbs.twimg.com/profile_images/1443256995302178819/_RscXDoK_normal.jpg"/>
    <x v="89"/>
    <d v="2021-10-07T00:00:00.000"/>
    <s v="06:47:07"/>
    <s v="https://twitter.com/jungian_soul/status/1446004141021548544"/>
    <m/>
    <m/>
    <s v="1446004141021548544"/>
    <m/>
    <b v="0"/>
    <n v="0"/>
    <s v=""/>
    <b v="0"/>
    <s v="en"/>
    <m/>
    <s v=""/>
    <b v="0"/>
    <n v="0"/>
    <s v=""/>
    <s v="Twitter Web App"/>
    <b v="0"/>
    <s v="1446004141021548544"/>
    <s v="Tweet"/>
    <n v="0"/>
    <n v="0"/>
    <m/>
    <m/>
    <m/>
    <m/>
    <m/>
    <m/>
    <m/>
    <m/>
    <n v="6"/>
    <s v="14"/>
    <s v="14"/>
    <n v="1"/>
    <n v="3.4482758620689653"/>
    <n v="1"/>
    <n v="3.4482758620689653"/>
    <n v="0"/>
    <n v="0"/>
    <n v="27"/>
    <n v="93.10344827586206"/>
    <n v="29"/>
  </r>
  <r>
    <s v="jungian_soul"/>
    <s v="jungian_soul"/>
    <m/>
    <m/>
    <m/>
    <m/>
    <m/>
    <m/>
    <m/>
    <m/>
    <s v="No"/>
    <n v="175"/>
    <m/>
    <m/>
    <x v="0"/>
    <d v="2021-10-07T06:47:37.000"/>
    <s v="Cell-Cultured Meat Could Hit Grocery Stores In Next 5 Years, Predicts Expert - Plant Based News https://t.co/WrhtV9KKFE"/>
    <s v="https://plantbasednews.org/lifestyle/food/cell-cultured-meat-could-hit-grocery-stores-in-next-5-years-predicts-expert/"/>
    <s v="plantbasednews.org"/>
    <x v="0"/>
    <m/>
    <s v="https://pbs.twimg.com/profile_images/1443256995302178819/_RscXDoK_normal.jpg"/>
    <x v="90"/>
    <d v="2021-10-07T00:00:00.000"/>
    <s v="06:47:37"/>
    <s v="https://twitter.com/jungian_soul/status/1446004268826202118"/>
    <m/>
    <m/>
    <s v="1446004268826202118"/>
    <m/>
    <b v="0"/>
    <n v="1"/>
    <s v=""/>
    <b v="0"/>
    <s v="en"/>
    <m/>
    <s v=""/>
    <b v="0"/>
    <n v="0"/>
    <s v=""/>
    <s v="Twitter Web App"/>
    <b v="0"/>
    <s v="1446004268826202118"/>
    <s v="Tweet"/>
    <n v="0"/>
    <n v="0"/>
    <m/>
    <m/>
    <m/>
    <m/>
    <m/>
    <m/>
    <m/>
    <m/>
    <n v="6"/>
    <s v="14"/>
    <s v="14"/>
    <n v="0"/>
    <n v="0"/>
    <n v="0"/>
    <n v="0"/>
    <n v="0"/>
    <n v="0"/>
    <n v="16"/>
    <n v="100"/>
    <n v="16"/>
  </r>
  <r>
    <s v="jungian_soul"/>
    <s v="jungian_soul"/>
    <m/>
    <m/>
    <m/>
    <m/>
    <m/>
    <m/>
    <m/>
    <m/>
    <s v="No"/>
    <n v="176"/>
    <m/>
    <m/>
    <x v="0"/>
    <d v="2021-10-10T13:17:16.000"/>
    <s v="New leaders on board, parasites. One from the USA ex coke executive._x000a_They are reimagining the demand for traditional &amp;amp; “New sources of protein” _x000a_- cell based meat”_x000a__x000a_New leaders at Harvest Road https://t.co/GFJOxNUWTa https://t.co/hkdO8TLqhX"/>
    <s v="https://www.farmonline.com.au/story/7458243/new-leaders-at-harvest-road/?cs=5374"/>
    <s v="com.au"/>
    <x v="0"/>
    <s v="https://pbs.twimg.com/media/FBVy2qOVEAU9poN.jpg"/>
    <s v="https://pbs.twimg.com/media/FBVy2qOVEAU9poN.jpg"/>
    <x v="91"/>
    <d v="2021-10-10T00:00:00.000"/>
    <s v="13:17:16"/>
    <s v="https://twitter.com/jungian_soul/status/1447189488753541124"/>
    <m/>
    <m/>
    <s v="1447189488753541124"/>
    <m/>
    <b v="0"/>
    <n v="5"/>
    <s v=""/>
    <b v="0"/>
    <s v="en"/>
    <m/>
    <s v=""/>
    <b v="0"/>
    <n v="0"/>
    <s v=""/>
    <s v="Twitter Web App"/>
    <b v="0"/>
    <s v="1447189488753541124"/>
    <s v="Tweet"/>
    <n v="0"/>
    <n v="0"/>
    <m/>
    <m/>
    <m/>
    <m/>
    <m/>
    <m/>
    <m/>
    <m/>
    <n v="6"/>
    <s v="14"/>
    <s v="14"/>
    <n v="0"/>
    <n v="0"/>
    <n v="0"/>
    <n v="0"/>
    <n v="0"/>
    <n v="0"/>
    <n v="32"/>
    <n v="100"/>
    <n v="32"/>
  </r>
  <r>
    <s v="jungian_soul"/>
    <s v="jungian_soul"/>
    <m/>
    <m/>
    <m/>
    <m/>
    <m/>
    <m/>
    <m/>
    <m/>
    <s v="No"/>
    <n v="177"/>
    <m/>
    <m/>
    <x v="0"/>
    <d v="2021-10-10T13:59:39.000"/>
    <s v="1950 - grain fed natural beef _x000a_2021 - fact checking the cell based meat."/>
    <m/>
    <m/>
    <x v="0"/>
    <m/>
    <s v="https://pbs.twimg.com/profile_images/1443256995302178819/_RscXDoK_normal.jpg"/>
    <x v="92"/>
    <d v="2021-10-10T00:00:00.000"/>
    <s v="13:59:39"/>
    <s v="https://twitter.com/jungian_soul/status/1447200154994425858"/>
    <m/>
    <m/>
    <s v="1447200154994425858"/>
    <m/>
    <b v="0"/>
    <n v="1"/>
    <s v=""/>
    <b v="0"/>
    <s v="en"/>
    <m/>
    <s v=""/>
    <b v="0"/>
    <n v="0"/>
    <s v=""/>
    <s v="Twitter Web App"/>
    <b v="0"/>
    <s v="1447200154994425858"/>
    <s v="Tweet"/>
    <n v="0"/>
    <n v="0"/>
    <m/>
    <m/>
    <m/>
    <m/>
    <m/>
    <m/>
    <m/>
    <m/>
    <n v="6"/>
    <s v="14"/>
    <s v="14"/>
    <n v="0"/>
    <n v="0"/>
    <n v="0"/>
    <n v="0"/>
    <n v="0"/>
    <n v="0"/>
    <n v="12"/>
    <n v="100"/>
    <n v="12"/>
  </r>
  <r>
    <s v="ttranpham"/>
    <s v="ttranpham"/>
    <m/>
    <m/>
    <m/>
    <m/>
    <m/>
    <m/>
    <m/>
    <m/>
    <s v="No"/>
    <n v="178"/>
    <m/>
    <m/>
    <x v="0"/>
    <d v="2021-10-10T16:30:17.000"/>
    <s v="Ashton Kutcher JOINS CELL-BASED MEAT COMPANY TO DEVELOP 3D BIOPRINTING? • https://t.co/oPAroYeeDt • #3Dprinting • ttranpham@azul3d.com • #additivemanufacturing https://t.co/zHtDtXpzat"/>
    <s v="https://www.linkedin.com/slink?code=ecSPkTwF https://www.linkedin.com/slink?code=egBfc8GH"/>
    <s v="linkedin.com linkedin.com"/>
    <x v="12"/>
    <m/>
    <s v="https://pbs.twimg.com/profile_images/1235445624582987776/EWHHKoBp_normal.jpg"/>
    <x v="93"/>
    <d v="2021-10-10T00:00:00.000"/>
    <s v="16:30:17"/>
    <s v="https://twitter.com/ttranpham/status/1447238062384287744"/>
    <m/>
    <m/>
    <s v="1447238062384287744"/>
    <m/>
    <b v="0"/>
    <n v="0"/>
    <s v=""/>
    <b v="0"/>
    <s v="en"/>
    <m/>
    <s v=""/>
    <b v="0"/>
    <n v="0"/>
    <s v=""/>
    <s v="LinkedIn"/>
    <b v="0"/>
    <s v="1447238062384287744"/>
    <s v="Tweet"/>
    <n v="0"/>
    <n v="0"/>
    <m/>
    <m/>
    <m/>
    <m/>
    <m/>
    <m/>
    <m/>
    <m/>
    <n v="1"/>
    <s v="2"/>
    <s v="2"/>
    <n v="0"/>
    <n v="0"/>
    <n v="0"/>
    <n v="0"/>
    <n v="0"/>
    <n v="0"/>
    <n v="16"/>
    <n v="100"/>
    <n v="16"/>
  </r>
  <r>
    <s v="koelnmesseinc"/>
    <s v="anuga"/>
    <m/>
    <m/>
    <m/>
    <m/>
    <m/>
    <m/>
    <m/>
    <m/>
    <s v="No"/>
    <n v="179"/>
    <m/>
    <m/>
    <x v="1"/>
    <d v="2021-10-10T12:40:46.000"/>
    <s v="We will look forward to seeing @aplusk and this new Cell-Based Meat Company at a future @anuga. _x000a_https://t.co/J6E8OjWbvZ via @VegNews"/>
    <s v="https://vegnews.com/2021/10/ashton-kutcher-cell-based-meat"/>
    <s v="vegnews.com"/>
    <x v="0"/>
    <m/>
    <s v="https://pbs.twimg.com/profile_images/1251222493559435264/__qt2TFb_normal.jpg"/>
    <x v="94"/>
    <d v="2021-10-10T00:00:00.000"/>
    <s v="12:40:46"/>
    <s v="https://twitter.com/koelnmesseinc/status/1447180303555039233"/>
    <m/>
    <m/>
    <s v="1447180303555039233"/>
    <m/>
    <b v="0"/>
    <n v="0"/>
    <s v=""/>
    <b v="0"/>
    <s v="en"/>
    <m/>
    <s v=""/>
    <b v="0"/>
    <n v="1"/>
    <s v=""/>
    <s v="Twitter Web App"/>
    <b v="0"/>
    <s v="1447180303555039233"/>
    <s v="Tweet"/>
    <n v="0"/>
    <n v="0"/>
    <m/>
    <m/>
    <m/>
    <m/>
    <m/>
    <m/>
    <m/>
    <m/>
    <n v="1"/>
    <s v="4"/>
    <s v="4"/>
    <n v="0"/>
    <n v="0"/>
    <n v="0"/>
    <n v="0"/>
    <n v="0"/>
    <n v="0"/>
    <n v="20"/>
    <n v="100"/>
    <n v="20"/>
  </r>
  <r>
    <s v="philliprussopov"/>
    <s v="anuga"/>
    <m/>
    <m/>
    <m/>
    <m/>
    <m/>
    <m/>
    <m/>
    <m/>
    <s v="No"/>
    <n v="180"/>
    <m/>
    <m/>
    <x v="2"/>
    <d v="2021-10-10T17:56:44.000"/>
    <s v="We will look forward to seeing @aplusk and this new Cell-Based Meat Company at a future @anuga. _x000a_https://t.co/J6E8OjWbvZ via @VegNews"/>
    <s v="https://vegnews.com/2021/10/ashton-kutcher-cell-based-meat"/>
    <s v="vegnews.com"/>
    <x v="0"/>
    <m/>
    <s v="https://pbs.twimg.com/profile_images/2709275057/94a5687e696c0e4af3c330f666bdc384_normal.jpeg"/>
    <x v="95"/>
    <d v="2021-10-10T00:00:00.000"/>
    <s v="17:56:44"/>
    <s v="https://twitter.com/philliprussopov/status/1447259818385977346"/>
    <m/>
    <m/>
    <s v="1447259818385977346"/>
    <m/>
    <b v="0"/>
    <n v="0"/>
    <s v=""/>
    <b v="0"/>
    <s v="en"/>
    <m/>
    <s v=""/>
    <b v="0"/>
    <n v="1"/>
    <s v="1447180303555039233"/>
    <s v="Twitter Web App"/>
    <b v="0"/>
    <s v="1447180303555039233"/>
    <s v="Tweet"/>
    <n v="0"/>
    <n v="0"/>
    <m/>
    <m/>
    <m/>
    <m/>
    <m/>
    <m/>
    <m/>
    <m/>
    <n v="1"/>
    <s v="4"/>
    <s v="4"/>
    <m/>
    <m/>
    <m/>
    <m/>
    <m/>
    <m/>
    <m/>
    <m/>
    <m/>
  </r>
  <r>
    <s v="rabigo369"/>
    <s v="vision4future1"/>
    <m/>
    <m/>
    <m/>
    <m/>
    <m/>
    <m/>
    <m/>
    <m/>
    <s v="No"/>
    <n v="186"/>
    <m/>
    <m/>
    <x v="4"/>
    <d v="2021-10-10T19:26:22.000"/>
    <s v="Lab-Made Dairy Products_x000a_You’ve heard of cultured “meat” and Wagyu steaks grown cell by cell in a laboratory, but what about other animal-based foodstuffs? _x000a_#invention  #newinvention #newinventions #newtech #futuretech #newtechnology #futuretechnology_x000a_https://t.co/UrQy1TlLTl"/>
    <s v="https://vision4thefuture.co/lab-made-dairy-products/"/>
    <s v="vision4thefuture.co"/>
    <x v="2"/>
    <m/>
    <s v="https://pbs.twimg.com/profile_images/1423802267937951745/MvyxLuiA_normal.jpg"/>
    <x v="96"/>
    <d v="2021-10-10T00:00:00.000"/>
    <s v="19:26:22"/>
    <s v="https://twitter.com/rabigo369/status/1447282377781350408"/>
    <m/>
    <m/>
    <s v="1447282377781350408"/>
    <m/>
    <b v="0"/>
    <n v="0"/>
    <s v=""/>
    <b v="0"/>
    <s v="en"/>
    <m/>
    <s v=""/>
    <b v="0"/>
    <n v="39"/>
    <s v="1443305248240676866"/>
    <s v="Twitter Web App"/>
    <b v="0"/>
    <s v="1443305248240676866"/>
    <s v="Tweet"/>
    <n v="0"/>
    <n v="0"/>
    <m/>
    <m/>
    <m/>
    <m/>
    <m/>
    <m/>
    <m/>
    <m/>
    <n v="1"/>
    <s v="7"/>
    <s v="7"/>
    <n v="0"/>
    <n v="0"/>
    <n v="0"/>
    <n v="0"/>
    <n v="0"/>
    <n v="0"/>
    <n v="34"/>
    <n v="100"/>
    <n v="34"/>
  </r>
  <r>
    <s v="vision4future1"/>
    <s v="vision4future1"/>
    <m/>
    <m/>
    <m/>
    <m/>
    <m/>
    <m/>
    <m/>
    <m/>
    <s v="No"/>
    <n v="187"/>
    <m/>
    <m/>
    <x v="0"/>
    <d v="2021-09-29T20:02:41.000"/>
    <s v="Lab-Made Dairy Products_x000a_You’ve heard of cultured “meat” and Wagyu steaks grown cell by cell in a laboratory, but what about other animal-based foodstuffs? _x000a_#invention  #newinvention #newinventions #newtech #futuretech #newtechnology #futuretechnology_x000a_https://t.co/UrQy1TlLTl"/>
    <s v="https://vision4thefuture.co/lab-made-dairy-products/"/>
    <s v="vision4thefuture.co"/>
    <x v="2"/>
    <m/>
    <s v="https://pbs.twimg.com/profile_images/805508045635809280/5kx8JJ4g_normal.jpg"/>
    <x v="97"/>
    <d v="2021-09-29T00:00:00.000"/>
    <s v="20:02:41"/>
    <s v="https://twitter.com/vision4future1/status/1443305248240676866"/>
    <m/>
    <m/>
    <s v="1443305248240676866"/>
    <m/>
    <b v="0"/>
    <n v="24"/>
    <s v=""/>
    <b v="0"/>
    <s v="en"/>
    <m/>
    <s v=""/>
    <b v="0"/>
    <n v="39"/>
    <s v=""/>
    <s v="Twitter Web App"/>
    <b v="0"/>
    <s v="1443305248240676866"/>
    <s v="Retweet"/>
    <n v="0"/>
    <n v="0"/>
    <m/>
    <m/>
    <m/>
    <m/>
    <m/>
    <m/>
    <m/>
    <m/>
    <n v="1"/>
    <s v="7"/>
    <s v="7"/>
    <n v="0"/>
    <n v="0"/>
    <n v="0"/>
    <n v="0"/>
    <n v="0"/>
    <n v="0"/>
    <n v="34"/>
    <n v="100"/>
    <n v="34"/>
  </r>
  <r>
    <s v="oracleatmushin"/>
    <s v="vision4future1"/>
    <m/>
    <m/>
    <m/>
    <m/>
    <m/>
    <m/>
    <m/>
    <m/>
    <s v="No"/>
    <n v="188"/>
    <m/>
    <m/>
    <x v="4"/>
    <d v="2021-10-10T19:27:19.000"/>
    <s v="Lab-Made Dairy Products_x000a_You’ve heard of cultured “meat” and Wagyu steaks grown cell by cell in a laboratory, but what about other animal-based foodstuffs? _x000a_#invention  #newinvention #newinventions #newtech #futuretech #newtechnology #futuretechnology_x000a_https://t.co/UrQy1TlLTl"/>
    <s v="https://vision4thefuture.co/lab-made-dairy-products/"/>
    <s v="vision4thefuture.co"/>
    <x v="2"/>
    <m/>
    <s v="https://pbs.twimg.com/profile_images/1195955022196101120/ETMR2hp4_normal.jpg"/>
    <x v="98"/>
    <d v="2021-10-10T00:00:00.000"/>
    <s v="19:27:19"/>
    <s v="https://twitter.com/oracleatmushin/status/1447282615958978560"/>
    <m/>
    <m/>
    <s v="1447282615958978560"/>
    <m/>
    <b v="0"/>
    <n v="0"/>
    <s v=""/>
    <b v="0"/>
    <s v="en"/>
    <m/>
    <s v=""/>
    <b v="0"/>
    <n v="39"/>
    <s v="1443305248240676866"/>
    <s v="Twitter Web App"/>
    <b v="0"/>
    <s v="1443305248240676866"/>
    <s v="Tweet"/>
    <n v="0"/>
    <n v="0"/>
    <m/>
    <m/>
    <m/>
    <m/>
    <m/>
    <m/>
    <m/>
    <m/>
    <n v="1"/>
    <s v="7"/>
    <s v="7"/>
    <n v="0"/>
    <n v="0"/>
    <n v="0"/>
    <n v="0"/>
    <n v="0"/>
    <n v="0"/>
    <n v="34"/>
    <n v="100"/>
    <n v="34"/>
  </r>
  <r>
    <s v="deduped_economi"/>
    <s v="bluenaluinc"/>
    <m/>
    <m/>
    <m/>
    <m/>
    <m/>
    <m/>
    <m/>
    <m/>
    <s v="No"/>
    <n v="189"/>
    <m/>
    <m/>
    <x v="2"/>
    <d v="2021-10-07T10:01:03.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abs.twimg.com/sticky/default_profile_images/default_profile_normal.png"/>
    <x v="99"/>
    <d v="2021-10-07T00:00:00.000"/>
    <s v="10:01:03"/>
    <s v="https://twitter.com/deduped_economi/status/1446052947452784649"/>
    <m/>
    <m/>
    <s v="1446052947452784649"/>
    <m/>
    <b v="0"/>
    <n v="0"/>
    <s v=""/>
    <b v="0"/>
    <s v="en"/>
    <m/>
    <s v=""/>
    <b v="0"/>
    <n v="11"/>
    <s v="1446052745350365184"/>
    <s v="De-duped Economist"/>
    <b v="0"/>
    <s v="1446052745350365184"/>
    <s v="Tweet"/>
    <n v="0"/>
    <n v="0"/>
    <m/>
    <m/>
    <m/>
    <m/>
    <m/>
    <m/>
    <m/>
    <m/>
    <n v="3"/>
    <s v="1"/>
    <s v="1"/>
    <m/>
    <m/>
    <m/>
    <m/>
    <m/>
    <m/>
    <m/>
    <m/>
    <m/>
  </r>
  <r>
    <s v="deduped_economi"/>
    <s v="bluenaluinc"/>
    <m/>
    <m/>
    <m/>
    <m/>
    <m/>
    <m/>
    <m/>
    <m/>
    <s v="No"/>
    <n v="193"/>
    <m/>
    <m/>
    <x v="2"/>
    <d v="2021-10-09T04:01:02.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abs.twimg.com/sticky/default_profile_images/default_profile_normal.png"/>
    <x v="100"/>
    <d v="2021-10-09T00:00:00.000"/>
    <s v="04:01:02"/>
    <s v="https://twitter.com/deduped_economi/status/1446687122274983938"/>
    <m/>
    <m/>
    <s v="1446687122274983938"/>
    <m/>
    <b v="0"/>
    <n v="0"/>
    <s v=""/>
    <b v="0"/>
    <s v="en"/>
    <m/>
    <s v=""/>
    <b v="0"/>
    <n v="12"/>
    <s v="1446686897695305740"/>
    <s v="De-duped Economist"/>
    <b v="0"/>
    <s v="1446686897695305740"/>
    <s v="Tweet"/>
    <n v="0"/>
    <n v="0"/>
    <m/>
    <m/>
    <m/>
    <m/>
    <m/>
    <m/>
    <m/>
    <m/>
    <n v="3"/>
    <s v="1"/>
    <s v="1"/>
    <m/>
    <m/>
    <m/>
    <m/>
    <m/>
    <m/>
    <m/>
    <m/>
    <m/>
  </r>
  <r>
    <s v="deduped_economi"/>
    <s v="bluenaluinc"/>
    <m/>
    <m/>
    <m/>
    <m/>
    <m/>
    <m/>
    <m/>
    <m/>
    <s v="No"/>
    <n v="197"/>
    <m/>
    <m/>
    <x v="2"/>
    <d v="2021-10-11T04:01:03.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abs.twimg.com/sticky/default_profile_images/default_profile_normal.png"/>
    <x v="101"/>
    <d v="2021-10-11T00:00:00.000"/>
    <s v="04:01:03"/>
    <s v="https://twitter.com/deduped_economi/status/1447411899197317127"/>
    <m/>
    <m/>
    <s v="1447411899197317127"/>
    <m/>
    <b v="0"/>
    <n v="0"/>
    <s v=""/>
    <b v="0"/>
    <s v="en"/>
    <m/>
    <s v=""/>
    <b v="0"/>
    <n v="10"/>
    <s v="1447411644942929923"/>
    <s v="De-duped Economist"/>
    <b v="0"/>
    <s v="1447411644942929923"/>
    <s v="Tweet"/>
    <n v="0"/>
    <n v="0"/>
    <m/>
    <m/>
    <m/>
    <m/>
    <m/>
    <m/>
    <m/>
    <m/>
    <n v="3"/>
    <s v="1"/>
    <s v="1"/>
    <m/>
    <m/>
    <m/>
    <m/>
    <m/>
    <m/>
    <m/>
    <m/>
    <m/>
  </r>
  <r>
    <s v="jamescounihan1"/>
    <s v="bluenaluinc"/>
    <m/>
    <m/>
    <m/>
    <m/>
    <m/>
    <m/>
    <m/>
    <m/>
    <s v="No"/>
    <n v="201"/>
    <m/>
    <m/>
    <x v="2"/>
    <d v="2021-10-11T04:01:32.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abs.twimg.com/sticky/default_profile_images/default_profile_normal.png"/>
    <x v="102"/>
    <d v="2021-10-11T00:00:00.000"/>
    <s v="04:01:32"/>
    <s v="https://twitter.com/jamescounihan1/status/1447412023655124997"/>
    <m/>
    <m/>
    <s v="1447412023655124997"/>
    <m/>
    <b v="0"/>
    <n v="0"/>
    <s v=""/>
    <b v="0"/>
    <s v="en"/>
    <m/>
    <s v=""/>
    <b v="0"/>
    <n v="10"/>
    <s v="1447411644942929923"/>
    <s v="Twitter for Android"/>
    <b v="0"/>
    <s v="1447411644942929923"/>
    <s v="Tweet"/>
    <n v="0"/>
    <n v="0"/>
    <m/>
    <m/>
    <m/>
    <m/>
    <m/>
    <m/>
    <m/>
    <m/>
    <n v="1"/>
    <s v="1"/>
    <s v="1"/>
    <m/>
    <m/>
    <m/>
    <m/>
    <m/>
    <m/>
    <m/>
    <m/>
    <m/>
  </r>
  <r>
    <s v="soap0928913"/>
    <s v="bluenaluinc"/>
    <m/>
    <m/>
    <m/>
    <m/>
    <m/>
    <m/>
    <m/>
    <m/>
    <s v="No"/>
    <n v="205"/>
    <m/>
    <m/>
    <x v="2"/>
    <d v="2021-10-11T04:02:52.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1298964287449251840/K2O2_Mya_normal.jpg"/>
    <x v="103"/>
    <d v="2021-10-11T00:00:00.000"/>
    <s v="04:02:52"/>
    <s v="https://twitter.com/soap0928913/status/1447412356724576261"/>
    <m/>
    <m/>
    <s v="1447412356724576261"/>
    <m/>
    <b v="0"/>
    <n v="0"/>
    <s v=""/>
    <b v="0"/>
    <s v="en"/>
    <m/>
    <s v=""/>
    <b v="0"/>
    <n v="10"/>
    <s v="1447411644942929923"/>
    <s v="Twitter Web App"/>
    <b v="0"/>
    <s v="1447411644942929923"/>
    <s v="Tweet"/>
    <n v="0"/>
    <n v="0"/>
    <m/>
    <m/>
    <m/>
    <m/>
    <m/>
    <m/>
    <m/>
    <m/>
    <n v="1"/>
    <s v="1"/>
    <s v="1"/>
    <m/>
    <m/>
    <m/>
    <m/>
    <m/>
    <m/>
    <m/>
    <m/>
    <m/>
  </r>
  <r>
    <s v="parvez_offi"/>
    <s v="bluenaluinc"/>
    <m/>
    <m/>
    <m/>
    <m/>
    <m/>
    <m/>
    <m/>
    <m/>
    <s v="No"/>
    <n v="209"/>
    <m/>
    <m/>
    <x v="2"/>
    <d v="2021-10-07T10:01:27.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446768416107294721/7O_VaIxM_normal.jpg"/>
    <x v="104"/>
    <d v="2021-10-07T00:00:00.000"/>
    <s v="10:01:27"/>
    <s v="https://twitter.com/parvez_offi/status/1446053048606859266"/>
    <m/>
    <m/>
    <s v="1446053048606859266"/>
    <m/>
    <b v="0"/>
    <n v="0"/>
    <s v=""/>
    <b v="0"/>
    <s v="en"/>
    <m/>
    <s v=""/>
    <b v="0"/>
    <n v="11"/>
    <s v="1446052745350365184"/>
    <s v="Twitter for Android"/>
    <b v="0"/>
    <s v="1446052745350365184"/>
    <s v="Tweet"/>
    <n v="0"/>
    <n v="0"/>
    <m/>
    <m/>
    <m/>
    <m/>
    <m/>
    <m/>
    <m/>
    <m/>
    <n v="3"/>
    <s v="1"/>
    <s v="1"/>
    <m/>
    <m/>
    <m/>
    <m/>
    <m/>
    <m/>
    <m/>
    <m/>
    <m/>
  </r>
  <r>
    <s v="parvez_offi"/>
    <s v="bluenaluinc"/>
    <m/>
    <m/>
    <m/>
    <m/>
    <m/>
    <m/>
    <m/>
    <m/>
    <s v="No"/>
    <n v="213"/>
    <m/>
    <m/>
    <x v="2"/>
    <d v="2021-10-09T04:22:12.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446768416107294721/7O_VaIxM_normal.jpg"/>
    <x v="105"/>
    <d v="2021-10-09T00:00:00.000"/>
    <s v="04:22:12"/>
    <s v="https://twitter.com/parvez_offi/status/1446692448147701760"/>
    <m/>
    <m/>
    <s v="1446692448147701760"/>
    <m/>
    <b v="0"/>
    <n v="0"/>
    <s v=""/>
    <b v="0"/>
    <s v="en"/>
    <m/>
    <s v=""/>
    <b v="0"/>
    <n v="12"/>
    <s v="1446686897695305740"/>
    <s v="Twitter for Android"/>
    <b v="0"/>
    <s v="1446686897695305740"/>
    <s v="Tweet"/>
    <n v="0"/>
    <n v="0"/>
    <m/>
    <m/>
    <m/>
    <m/>
    <m/>
    <m/>
    <m/>
    <m/>
    <n v="3"/>
    <s v="1"/>
    <s v="1"/>
    <m/>
    <m/>
    <m/>
    <m/>
    <m/>
    <m/>
    <m/>
    <m/>
    <m/>
  </r>
  <r>
    <s v="parvez_offi"/>
    <s v="bluenaluinc"/>
    <m/>
    <m/>
    <m/>
    <m/>
    <m/>
    <m/>
    <m/>
    <m/>
    <s v="No"/>
    <n v="217"/>
    <m/>
    <m/>
    <x v="2"/>
    <d v="2021-10-11T04:11:42.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1446768416107294721/7O_VaIxM_normal.jpg"/>
    <x v="106"/>
    <d v="2021-10-11T00:00:00.000"/>
    <s v="04:11:42"/>
    <s v="https://twitter.com/parvez_offi/status/1447414582432002049"/>
    <m/>
    <m/>
    <s v="1447414582432002049"/>
    <m/>
    <b v="0"/>
    <n v="0"/>
    <s v=""/>
    <b v="0"/>
    <s v="en"/>
    <m/>
    <s v=""/>
    <b v="0"/>
    <n v="10"/>
    <s v="1447411644942929923"/>
    <s v="Twitter for Android"/>
    <b v="0"/>
    <s v="1447411644942929923"/>
    <s v="Tweet"/>
    <n v="0"/>
    <n v="0"/>
    <m/>
    <m/>
    <m/>
    <m/>
    <m/>
    <m/>
    <m/>
    <m/>
    <n v="3"/>
    <s v="1"/>
    <s v="1"/>
    <m/>
    <m/>
    <m/>
    <m/>
    <m/>
    <m/>
    <m/>
    <m/>
    <m/>
  </r>
  <r>
    <s v="monluz2"/>
    <s v="bluenaluinc"/>
    <m/>
    <m/>
    <m/>
    <m/>
    <m/>
    <m/>
    <m/>
    <m/>
    <s v="No"/>
    <n v="221"/>
    <m/>
    <m/>
    <x v="2"/>
    <d v="2021-10-11T04:17:55.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1349481526006788098/7jHlAj8V_normal.jpg"/>
    <x v="107"/>
    <d v="2021-10-11T00:00:00.000"/>
    <s v="04:17:55"/>
    <s v="https://twitter.com/monluz2/status/1447416146932551683"/>
    <m/>
    <m/>
    <s v="1447416146932551683"/>
    <m/>
    <b v="0"/>
    <n v="0"/>
    <s v=""/>
    <b v="0"/>
    <s v="en"/>
    <m/>
    <s v=""/>
    <b v="0"/>
    <n v="10"/>
    <s v="1447411644942929923"/>
    <s v="Twitter for Android"/>
    <b v="0"/>
    <s v="1447411644942929923"/>
    <s v="Tweet"/>
    <n v="0"/>
    <n v="0"/>
    <m/>
    <m/>
    <m/>
    <m/>
    <m/>
    <m/>
    <m/>
    <m/>
    <n v="1"/>
    <s v="1"/>
    <s v="1"/>
    <m/>
    <m/>
    <m/>
    <m/>
    <m/>
    <m/>
    <m/>
    <m/>
    <m/>
  </r>
  <r>
    <s v="shyshoegazer"/>
    <s v="bluenaluinc"/>
    <m/>
    <m/>
    <m/>
    <m/>
    <m/>
    <m/>
    <m/>
    <m/>
    <s v="No"/>
    <n v="225"/>
    <m/>
    <m/>
    <x v="2"/>
    <d v="2021-10-11T04:21:17.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1365150290786181121/VnLvLg_n_normal.jpg"/>
    <x v="108"/>
    <d v="2021-10-11T00:00:00.000"/>
    <s v="04:21:17"/>
    <s v="https://twitter.com/shyshoegazer/status/1447416994400071680"/>
    <m/>
    <m/>
    <s v="1447416994400071680"/>
    <m/>
    <b v="0"/>
    <n v="0"/>
    <s v=""/>
    <b v="0"/>
    <s v="en"/>
    <m/>
    <s v=""/>
    <b v="0"/>
    <n v="10"/>
    <s v="1447411644942929923"/>
    <s v="Twitter for iPhone"/>
    <b v="0"/>
    <s v="1447411644942929923"/>
    <s v="Tweet"/>
    <n v="0"/>
    <n v="0"/>
    <m/>
    <m/>
    <m/>
    <m/>
    <m/>
    <m/>
    <m/>
    <m/>
    <n v="1"/>
    <s v="1"/>
    <s v="1"/>
    <m/>
    <m/>
    <m/>
    <m/>
    <m/>
    <m/>
    <m/>
    <m/>
    <m/>
  </r>
  <r>
    <s v="dd_jessica_"/>
    <s v="bluenaluinc"/>
    <m/>
    <m/>
    <m/>
    <m/>
    <m/>
    <m/>
    <m/>
    <m/>
    <s v="No"/>
    <n v="229"/>
    <m/>
    <m/>
    <x v="2"/>
    <d v="2021-10-11T04:31:04.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863231430712672260/weKWY1BH_normal.jpg"/>
    <x v="109"/>
    <d v="2021-10-11T00:00:00.000"/>
    <s v="04:31:04"/>
    <s v="https://twitter.com/dd_jessica_/status/1447419457010237443"/>
    <m/>
    <m/>
    <s v="1447419457010237443"/>
    <m/>
    <b v="0"/>
    <n v="0"/>
    <s v=""/>
    <b v="0"/>
    <s v="en"/>
    <m/>
    <s v=""/>
    <b v="0"/>
    <n v="10"/>
    <s v="1447411644942929923"/>
    <s v="Twitter for iPhone"/>
    <b v="0"/>
    <s v="1447411644942929923"/>
    <s v="Tweet"/>
    <n v="0"/>
    <n v="0"/>
    <m/>
    <m/>
    <m/>
    <m/>
    <m/>
    <m/>
    <m/>
    <m/>
    <n v="1"/>
    <s v="1"/>
    <s v="1"/>
    <m/>
    <m/>
    <m/>
    <m/>
    <m/>
    <m/>
    <m/>
    <m/>
    <m/>
  </r>
  <r>
    <s v="earthaccounting"/>
    <s v="earthaccounting"/>
    <m/>
    <m/>
    <m/>
    <m/>
    <m/>
    <m/>
    <m/>
    <m/>
    <s v="No"/>
    <n v="233"/>
    <m/>
    <m/>
    <x v="0"/>
    <d v="2021-10-09T00:00:00.000"/>
    <s v="Over 95% In #HongKong Want To Try #CellBased Meat and Seafood: Study  https://t.co/qlc90yjxbB https://t.co/ENAQLdzBQr"/>
    <s v="https://www.greenqueen.com.hk/hong-kong-cell-based-meat-study/?ct=t%28OCT+8+2020+INDUSTRY+SCOOP_COPY_01%29"/>
    <s v="com.hk"/>
    <x v="10"/>
    <s v="https://pbs.twimg.com/media/FBD5ahCUUAYHMaD.jpg"/>
    <s v="https://pbs.twimg.com/media/FBD5ahCUUAYHMaD.jpg"/>
    <x v="110"/>
    <d v="2021-10-09T00:00:00.000"/>
    <s v="00:00:00"/>
    <s v="https://twitter.com/earthaccounting/status/1446626461897531393"/>
    <m/>
    <m/>
    <s v="1446626461897531393"/>
    <m/>
    <b v="0"/>
    <n v="3"/>
    <s v=""/>
    <b v="0"/>
    <s v="en"/>
    <m/>
    <s v=""/>
    <b v="0"/>
    <n v="3"/>
    <s v=""/>
    <s v="Twitter Web App"/>
    <b v="0"/>
    <s v="1446626461897531393"/>
    <s v="Tweet"/>
    <n v="0"/>
    <n v="0"/>
    <m/>
    <m/>
    <m/>
    <m/>
    <m/>
    <m/>
    <m/>
    <m/>
    <n v="1"/>
    <s v="12"/>
    <s v="12"/>
    <n v="0"/>
    <n v="0"/>
    <n v="0"/>
    <n v="0"/>
    <n v="0"/>
    <n v="0"/>
    <n v="12"/>
    <n v="100"/>
    <n v="12"/>
  </r>
  <r>
    <s v="earthaccounting"/>
    <s v="earthaccounting"/>
    <m/>
    <m/>
    <m/>
    <m/>
    <m/>
    <m/>
    <m/>
    <m/>
    <s v="No"/>
    <n v="234"/>
    <m/>
    <m/>
    <x v="4"/>
    <d v="2021-10-11T04:43:59.000"/>
    <s v="Over 95% In #HongKong Want To Try #CellBased Meat and Seafood: Study  https://t.co/qlc90yjxbB https://t.co/ENAQLdzBQr"/>
    <s v="https://www.greenqueen.com.hk/hong-kong-cell-based-meat-study/?ct=t%28OCT+8+2020+INDUSTRY+SCOOP_COPY_01%29"/>
    <s v="com.hk"/>
    <x v="10"/>
    <s v="https://pbs.twimg.com/media/FBD5ahCUUAYHMaD.jpg"/>
    <s v="https://pbs.twimg.com/media/FBD5ahCUUAYHMaD.jpg"/>
    <x v="111"/>
    <d v="2021-10-11T00:00:00.000"/>
    <s v="04:43:59"/>
    <s v="https://twitter.com/earthaccounting/status/1447422704567554051"/>
    <m/>
    <m/>
    <s v="1447422704567554051"/>
    <m/>
    <b v="0"/>
    <n v="0"/>
    <s v=""/>
    <b v="0"/>
    <s v="en"/>
    <m/>
    <s v=""/>
    <b v="0"/>
    <n v="3"/>
    <s v="1446626461897531393"/>
    <s v="Twitter Web App"/>
    <b v="0"/>
    <s v="1446626461897531393"/>
    <s v="Tweet"/>
    <n v="0"/>
    <n v="0"/>
    <m/>
    <m/>
    <m/>
    <m/>
    <m/>
    <m/>
    <m/>
    <m/>
    <n v="1"/>
    <s v="12"/>
    <s v="12"/>
    <n v="0"/>
    <n v="0"/>
    <n v="0"/>
    <n v="0"/>
    <n v="0"/>
    <n v="0"/>
    <n v="12"/>
    <n v="100"/>
    <n v="12"/>
  </r>
  <r>
    <s v="shiokmeats"/>
    <s v="soroushjp"/>
    <m/>
    <m/>
    <m/>
    <m/>
    <m/>
    <m/>
    <m/>
    <m/>
    <s v="No"/>
    <n v="235"/>
    <m/>
    <m/>
    <x v="3"/>
    <d v="2021-10-11T05:16:10.000"/>
    <s v="@soroushjp Link to coverage: https://t.co/LZZB8Q1LxO )_x000a__x000a_--_x000a_More info on the world's first crab tasting event 🦀 😋: https://t.co/Rbfl82NVLF"/>
    <s v="https://www.livekindly.co/singapore-startup-world-first-cultured-crab/ https://shiokmeats.com/shiok-meats-showcases-the-worlds-first-ever-cell-based-crab-meat-in-a-private-tasting-event/"/>
    <s v="livekindly.co shiokmeats.com"/>
    <x v="0"/>
    <m/>
    <s v="https://pbs.twimg.com/profile_images/1067102741980487680/tL2beQao_normal.jpg"/>
    <x v="112"/>
    <d v="2021-10-11T00:00:00.000"/>
    <s v="05:16:10"/>
    <s v="https://twitter.com/shiokmeats/status/1447430803269447687"/>
    <m/>
    <m/>
    <s v="1447430803269447687"/>
    <s v="1447049049169797152"/>
    <b v="0"/>
    <n v="1"/>
    <s v="519415409"/>
    <b v="0"/>
    <s v="en"/>
    <m/>
    <s v=""/>
    <b v="0"/>
    <n v="0"/>
    <s v=""/>
    <s v="Twitter for iPhone"/>
    <b v="0"/>
    <s v="1447049049169797152"/>
    <s v="Tweet"/>
    <n v="0"/>
    <n v="0"/>
    <m/>
    <m/>
    <m/>
    <m/>
    <m/>
    <m/>
    <m/>
    <m/>
    <n v="1"/>
    <s v="3"/>
    <s v="3"/>
    <n v="0"/>
    <n v="0"/>
    <n v="0"/>
    <n v="0"/>
    <n v="0"/>
    <n v="0"/>
    <n v="13"/>
    <n v="100"/>
    <n v="13"/>
  </r>
  <r>
    <s v="kjgheroman"/>
    <s v="bluenaluinc"/>
    <m/>
    <m/>
    <m/>
    <m/>
    <m/>
    <m/>
    <m/>
    <m/>
    <s v="No"/>
    <n v="236"/>
    <m/>
    <m/>
    <x v="2"/>
    <d v="2021-10-07T10:00:20.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1437693571860099078/rDcmu9i__normal.jpg"/>
    <x v="113"/>
    <d v="2021-10-07T00:00:00.000"/>
    <s v="10:00:20"/>
    <s v="https://twitter.com/kjgheroman/status/1446052766565101569"/>
    <m/>
    <m/>
    <s v="1446052766565101569"/>
    <m/>
    <b v="0"/>
    <n v="0"/>
    <s v=""/>
    <b v="0"/>
    <s v="en"/>
    <m/>
    <s v=""/>
    <b v="0"/>
    <n v="11"/>
    <s v="1446052745350365184"/>
    <s v="Twitter for iPhone"/>
    <b v="0"/>
    <s v="1446052745350365184"/>
    <s v="Tweet"/>
    <n v="0"/>
    <n v="0"/>
    <m/>
    <m/>
    <m/>
    <m/>
    <m/>
    <m/>
    <m/>
    <m/>
    <n v="2"/>
    <s v="1"/>
    <s v="1"/>
    <m/>
    <m/>
    <m/>
    <m/>
    <m/>
    <m/>
    <m/>
    <m/>
    <m/>
  </r>
  <r>
    <s v="kjgheroman"/>
    <s v="bluenaluinc"/>
    <m/>
    <m/>
    <m/>
    <m/>
    <m/>
    <m/>
    <m/>
    <m/>
    <s v="No"/>
    <n v="240"/>
    <m/>
    <m/>
    <x v="2"/>
    <d v="2021-10-11T08:01:03.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1437693571860099078/rDcmu9i__normal.jpg"/>
    <x v="114"/>
    <d v="2021-10-11T00:00:00.000"/>
    <s v="08:01:03"/>
    <s v="https://twitter.com/kjgheroman/status/1447472299834101760"/>
    <m/>
    <m/>
    <s v="1447472299834101760"/>
    <m/>
    <b v="0"/>
    <n v="0"/>
    <s v=""/>
    <b v="0"/>
    <s v="en"/>
    <m/>
    <s v=""/>
    <b v="0"/>
    <n v="10"/>
    <s v="1447411644942929923"/>
    <s v="Twitter for iPhone"/>
    <b v="0"/>
    <s v="1447411644942929923"/>
    <s v="Tweet"/>
    <n v="0"/>
    <n v="0"/>
    <m/>
    <m/>
    <m/>
    <m/>
    <m/>
    <m/>
    <m/>
    <m/>
    <n v="2"/>
    <s v="1"/>
    <s v="1"/>
    <m/>
    <m/>
    <m/>
    <m/>
    <m/>
    <m/>
    <m/>
    <m/>
    <m/>
  </r>
  <r>
    <s v="grownunder"/>
    <s v="econus"/>
    <m/>
    <m/>
    <m/>
    <m/>
    <m/>
    <m/>
    <m/>
    <m/>
    <s v="Yes"/>
    <n v="244"/>
    <m/>
    <m/>
    <x v="4"/>
    <d v="2021-10-08T11:15:03.000"/>
    <s v="On “Babbage”, with @jonfasman:_x000a_- Could lab-grown and plant-based meat be the future of food?_x000a_- @GrownUnder explores the merits of vertical farming_x000a_- How cell-cultured seafood from @BlueNaluInc could replace traditional fish farming https://t.co/kpXp9xtbo9"/>
    <s v="https://econ.trib.al/AoNqILv"/>
    <s v="trib.al"/>
    <x v="0"/>
    <m/>
    <s v="https://pbs.twimg.com/profile_images/1413053667930951680/NpQOcSDf_normal.jpg"/>
    <x v="115"/>
    <d v="2021-10-08T00:00:00.000"/>
    <s v="11:15:03"/>
    <s v="https://twitter.com/grownunder/status/1446433955465646114"/>
    <m/>
    <m/>
    <s v="1446433955465646114"/>
    <m/>
    <b v="0"/>
    <n v="0"/>
    <s v=""/>
    <b v="0"/>
    <s v="en"/>
    <m/>
    <s v=""/>
    <b v="0"/>
    <n v="2"/>
    <s v="1446385652564701218"/>
    <s v="Twitter for Android"/>
    <b v="0"/>
    <s v="1446385652564701218"/>
    <s v="Tweet"/>
    <n v="0"/>
    <n v="0"/>
    <m/>
    <m/>
    <m/>
    <m/>
    <m/>
    <m/>
    <m/>
    <m/>
    <n v="1"/>
    <s v="1"/>
    <s v="1"/>
    <n v="0"/>
    <n v="0"/>
    <n v="0"/>
    <n v="0"/>
    <n v="0"/>
    <n v="0"/>
    <n v="34"/>
    <n v="100"/>
    <n v="34"/>
  </r>
  <r>
    <s v="econus"/>
    <s v="bluenaluinc"/>
    <m/>
    <m/>
    <m/>
    <m/>
    <m/>
    <m/>
    <m/>
    <m/>
    <s v="No"/>
    <n v="245"/>
    <m/>
    <m/>
    <x v="1"/>
    <d v="2021-10-06T08:03:01.000"/>
    <s v="On “Babbage”, with @jonfasman:_x000a_- Could lab-grown and plant-based meat be the future of food?_x000a_- @GrownUnder explores the merits of vertical farming_x000a_- How cell-cultured seafood from @BlueNaluInc could replace traditional fish farming https://t.co/PknFx1vVb8"/>
    <s v="https://econ.trib.al/BfqdN5n"/>
    <s v="trib.al"/>
    <x v="0"/>
    <m/>
    <s v="https://pbs.twimg.com/profile_images/879701858180358144/2vvZ7wVI_normal.jpg"/>
    <x v="116"/>
    <d v="2021-10-06T00:00:00.000"/>
    <s v="08:03:01"/>
    <s v="https://twitter.com/econus/status/1445660855807266818"/>
    <m/>
    <m/>
    <s v="1445660855807266818"/>
    <m/>
    <b v="0"/>
    <n v="0"/>
    <s v=""/>
    <b v="0"/>
    <s v="en"/>
    <m/>
    <s v=""/>
    <b v="0"/>
    <n v="0"/>
    <s v=""/>
    <s v="SocialFlow"/>
    <b v="0"/>
    <s v="1445660855807266818"/>
    <s v="Tweet"/>
    <n v="0"/>
    <n v="0"/>
    <m/>
    <m/>
    <m/>
    <m/>
    <m/>
    <m/>
    <m/>
    <m/>
    <n v="6"/>
    <s v="1"/>
    <s v="1"/>
    <m/>
    <m/>
    <m/>
    <m/>
    <m/>
    <m/>
    <m/>
    <m/>
    <m/>
  </r>
  <r>
    <s v="econus"/>
    <s v="bluenaluinc"/>
    <m/>
    <m/>
    <m/>
    <m/>
    <m/>
    <m/>
    <m/>
    <m/>
    <s v="No"/>
    <n v="248"/>
    <m/>
    <m/>
    <x v="1"/>
    <d v="2021-10-07T08:03:07.000"/>
    <s v="On “Babbage”, with @jonfasman:_x000a_- Could lab-grown and plant-based meat be the future of food?_x000a_- @GrownUnder explores the merits of vertical farming_x000a_- How cell-cultured seafood from @BlueNaluInc could replace traditional fish farming https://t.co/aTDFDZtXLP"/>
    <s v="https://econ.trib.al/NL8KzOD"/>
    <s v="trib.al"/>
    <x v="0"/>
    <m/>
    <s v="https://pbs.twimg.com/profile_images/879701858180358144/2vvZ7wVI_normal.jpg"/>
    <x v="117"/>
    <d v="2021-10-07T00:00:00.000"/>
    <s v="08:03:07"/>
    <s v="https://twitter.com/econus/status/1446023267106578435"/>
    <m/>
    <m/>
    <s v="1446023267106578435"/>
    <m/>
    <b v="0"/>
    <n v="1"/>
    <s v=""/>
    <b v="0"/>
    <s v="en"/>
    <m/>
    <s v=""/>
    <b v="0"/>
    <n v="2"/>
    <s v=""/>
    <s v="SocialFlow"/>
    <b v="0"/>
    <s v="1446023267106578435"/>
    <s v="Tweet"/>
    <n v="0"/>
    <n v="0"/>
    <m/>
    <m/>
    <m/>
    <m/>
    <m/>
    <m/>
    <m/>
    <m/>
    <n v="6"/>
    <s v="1"/>
    <s v="1"/>
    <m/>
    <m/>
    <m/>
    <m/>
    <m/>
    <m/>
    <m/>
    <m/>
    <m/>
  </r>
  <r>
    <s v="econus"/>
    <s v="bluenaluinc"/>
    <m/>
    <m/>
    <m/>
    <m/>
    <m/>
    <m/>
    <m/>
    <m/>
    <s v="No"/>
    <n v="251"/>
    <m/>
    <m/>
    <x v="1"/>
    <d v="2021-10-08T08:03:06.000"/>
    <s v="On “Babbage”, with @jonfasman:_x000a_- Could lab-grown and plant-based meat be the future of food?_x000a_- @GrownUnder explores the merits of vertical farming_x000a_- How cell-cultured seafood from @BlueNaluInc could replace traditional fish farming https://t.co/kpXp9xtbo9"/>
    <s v="https://econ.trib.al/AoNqILv"/>
    <s v="trib.al"/>
    <x v="0"/>
    <m/>
    <s v="https://pbs.twimg.com/profile_images/879701858180358144/2vvZ7wVI_normal.jpg"/>
    <x v="118"/>
    <d v="2021-10-08T00:00:00.000"/>
    <s v="08:03:06"/>
    <s v="https://twitter.com/econus/status/1446385652564701218"/>
    <m/>
    <m/>
    <s v="1446385652564701218"/>
    <m/>
    <b v="0"/>
    <n v="3"/>
    <s v=""/>
    <b v="0"/>
    <s v="en"/>
    <m/>
    <s v=""/>
    <b v="0"/>
    <n v="2"/>
    <s v=""/>
    <s v="SocialFlow"/>
    <b v="0"/>
    <s v="1446385652564701218"/>
    <s v="Tweet"/>
    <n v="0"/>
    <n v="0"/>
    <m/>
    <m/>
    <m/>
    <m/>
    <m/>
    <m/>
    <m/>
    <m/>
    <n v="6"/>
    <s v="1"/>
    <s v="1"/>
    <m/>
    <m/>
    <m/>
    <m/>
    <m/>
    <m/>
    <m/>
    <m/>
    <m/>
  </r>
  <r>
    <s v="econus"/>
    <s v="bluenaluinc"/>
    <m/>
    <m/>
    <m/>
    <m/>
    <m/>
    <m/>
    <m/>
    <m/>
    <s v="No"/>
    <n v="254"/>
    <m/>
    <m/>
    <x v="1"/>
    <d v="2021-10-09T08:03:04.000"/>
    <s v="On “Babbage”, with @jonfasman:_x000a_- Could lab-grown and plant-based meat be the future of food?_x000a_- @GrownUnder explores the merits of vertical farming_x000a_- How cell-cultured seafood from @BlueNaluInc could replace traditional fish farming https://t.co/KHvcW0XqZz"/>
    <s v="https://econ.trib.al/hX2OEYl"/>
    <s v="trib.al"/>
    <x v="0"/>
    <m/>
    <s v="https://pbs.twimg.com/profile_images/879701858180358144/2vvZ7wVI_normal.jpg"/>
    <x v="119"/>
    <d v="2021-10-09T00:00:00.000"/>
    <s v="08:03:04"/>
    <s v="https://twitter.com/econus/status/1446748031924285451"/>
    <m/>
    <m/>
    <s v="1446748031924285451"/>
    <m/>
    <b v="0"/>
    <n v="0"/>
    <s v=""/>
    <b v="0"/>
    <s v="en"/>
    <m/>
    <s v=""/>
    <b v="0"/>
    <n v="0"/>
    <s v=""/>
    <s v="SocialFlow"/>
    <b v="0"/>
    <s v="1446748031924285451"/>
    <s v="Tweet"/>
    <n v="0"/>
    <n v="0"/>
    <m/>
    <m/>
    <m/>
    <m/>
    <m/>
    <m/>
    <m/>
    <m/>
    <n v="6"/>
    <s v="1"/>
    <s v="1"/>
    <m/>
    <m/>
    <m/>
    <m/>
    <m/>
    <m/>
    <m/>
    <m/>
    <m/>
  </r>
  <r>
    <s v="econus"/>
    <s v="bluenaluinc"/>
    <m/>
    <m/>
    <m/>
    <m/>
    <m/>
    <m/>
    <m/>
    <m/>
    <s v="No"/>
    <n v="257"/>
    <m/>
    <m/>
    <x v="1"/>
    <d v="2021-10-10T08:03:04.000"/>
    <s v="On “Babbage”, with @jonfasman:_x000a_- Could lab-grown and plant-based meat be the future of food?_x000a_- @GrownUnder explores the merits of vertical farming_x000a_- How cell-cultured seafood from @BlueNaluInc could replace traditional fish farming https://t.co/iRl0iMSUud"/>
    <s v="https://econ.trib.al/fJkeRl8"/>
    <s v="trib.al"/>
    <x v="0"/>
    <m/>
    <s v="https://pbs.twimg.com/profile_images/879701858180358144/2vvZ7wVI_normal.jpg"/>
    <x v="120"/>
    <d v="2021-10-10T00:00:00.000"/>
    <s v="08:03:04"/>
    <s v="https://twitter.com/econus/status/1447110417910747137"/>
    <m/>
    <m/>
    <s v="1447110417910747137"/>
    <m/>
    <b v="0"/>
    <n v="0"/>
    <s v=""/>
    <b v="0"/>
    <s v="en"/>
    <m/>
    <s v=""/>
    <b v="0"/>
    <n v="1"/>
    <s v=""/>
    <s v="SocialFlow"/>
    <b v="0"/>
    <s v="1447110417910747137"/>
    <s v="Tweet"/>
    <n v="0"/>
    <n v="0"/>
    <m/>
    <m/>
    <m/>
    <m/>
    <m/>
    <m/>
    <m/>
    <m/>
    <n v="6"/>
    <s v="1"/>
    <s v="1"/>
    <m/>
    <m/>
    <m/>
    <m/>
    <m/>
    <m/>
    <m/>
    <m/>
    <m/>
  </r>
  <r>
    <s v="econus"/>
    <s v="bluenaluinc"/>
    <m/>
    <m/>
    <m/>
    <m/>
    <m/>
    <m/>
    <m/>
    <m/>
    <s v="No"/>
    <n v="260"/>
    <m/>
    <m/>
    <x v="1"/>
    <d v="2021-10-11T08:03:06.000"/>
    <s v="On “Babbage”, with @jonfasman:_x000a_- Could lab-grown and plant-based meat be the future of food?_x000a_- @GrownUnder explores the merits of vertical farming_x000a_- How cell-cultured seafood from @BlueNaluInc could replace traditional fish farming https://t.co/h4Dd2NORy3"/>
    <s v="https://econ.trib.al/6yo11AH"/>
    <s v="trib.al"/>
    <x v="0"/>
    <m/>
    <s v="https://pbs.twimg.com/profile_images/879701858180358144/2vvZ7wVI_normal.jpg"/>
    <x v="121"/>
    <d v="2021-10-11T00:00:00.000"/>
    <s v="08:03:06"/>
    <s v="https://twitter.com/econus/status/1447472813431001091"/>
    <m/>
    <m/>
    <s v="1447472813431001091"/>
    <m/>
    <b v="0"/>
    <n v="0"/>
    <s v=""/>
    <b v="0"/>
    <s v="en"/>
    <m/>
    <s v=""/>
    <b v="0"/>
    <n v="0"/>
    <s v=""/>
    <s v="SocialFlow"/>
    <b v="0"/>
    <s v="1447472813431001091"/>
    <s v="Tweet"/>
    <n v="0"/>
    <n v="0"/>
    <m/>
    <m/>
    <m/>
    <m/>
    <m/>
    <m/>
    <m/>
    <m/>
    <n v="6"/>
    <s v="1"/>
    <s v="1"/>
    <m/>
    <m/>
    <m/>
    <m/>
    <m/>
    <m/>
    <m/>
    <m/>
    <m/>
  </r>
  <r>
    <s v="jfrusci"/>
    <s v="econus"/>
    <m/>
    <m/>
    <m/>
    <m/>
    <m/>
    <m/>
    <m/>
    <m/>
    <s v="No"/>
    <n v="263"/>
    <m/>
    <m/>
    <x v="1"/>
    <d v="2021-10-06T08:04:58.000"/>
    <s v="On “Babbage”, with @jonfasman:_x000a_- Could lab-grown and plant-based meat be the future of food?_x000a_- @GrownUnder explores the merits of vertical farming_x000a_- How cell-cultured seafood from @BlueNaluInc could replace traditional fish farming https://t.co/HZbd79PqLo via @EconUS"/>
    <s v="https://econ.trib.al/BfqdN5n"/>
    <s v="trib.al"/>
    <x v="0"/>
    <m/>
    <s v="https://pbs.twimg.com/profile_images/1354343790060969990/Fqw5w_P0_normal.jpg"/>
    <x v="122"/>
    <d v="2021-10-06T00:00:00.000"/>
    <s v="08:04:58"/>
    <s v="https://twitter.com/jfrusci/status/1445661345777475584"/>
    <m/>
    <m/>
    <s v="1445661345777475584"/>
    <m/>
    <b v="0"/>
    <n v="0"/>
    <s v=""/>
    <b v="0"/>
    <s v="en"/>
    <m/>
    <s v=""/>
    <b v="0"/>
    <n v="0"/>
    <s v=""/>
    <s v="GroupTweet"/>
    <b v="0"/>
    <s v="1445661345777475584"/>
    <s v="Tweet"/>
    <n v="0"/>
    <n v="0"/>
    <m/>
    <m/>
    <m/>
    <m/>
    <m/>
    <m/>
    <m/>
    <m/>
    <n v="6"/>
    <s v="1"/>
    <s v="1"/>
    <m/>
    <m/>
    <m/>
    <m/>
    <m/>
    <m/>
    <m/>
    <m/>
    <m/>
  </r>
  <r>
    <s v="jfrusci"/>
    <s v="econus"/>
    <m/>
    <m/>
    <m/>
    <m/>
    <m/>
    <m/>
    <m/>
    <m/>
    <s v="No"/>
    <n v="264"/>
    <m/>
    <m/>
    <x v="1"/>
    <d v="2021-10-07T08:03:16.000"/>
    <s v="On “Babbage”, with @jonfasman:_x000a_- Could lab-grown and plant-based meat be the future of food?_x000a_- @GrownUnder explores the merits of vertical farming_x000a_- How cell-cultured seafood from @BlueNaluInc could replace traditional fish farming https://t.co/BzANFHmjEz via @EconUS"/>
    <s v="https://econ.trib.al/NL8KzOD"/>
    <s v="trib.al"/>
    <x v="0"/>
    <m/>
    <s v="https://pbs.twimg.com/profile_images/1354343790060969990/Fqw5w_P0_normal.jpg"/>
    <x v="123"/>
    <d v="2021-10-07T00:00:00.000"/>
    <s v="08:03:16"/>
    <s v="https://twitter.com/jfrusci/status/1446023305828372481"/>
    <m/>
    <m/>
    <s v="1446023305828372481"/>
    <m/>
    <b v="0"/>
    <n v="0"/>
    <s v=""/>
    <b v="0"/>
    <s v="en"/>
    <m/>
    <s v=""/>
    <b v="0"/>
    <n v="0"/>
    <s v=""/>
    <s v="GroupTweet"/>
    <b v="0"/>
    <s v="1446023305828372481"/>
    <s v="Tweet"/>
    <n v="0"/>
    <n v="0"/>
    <m/>
    <m/>
    <m/>
    <m/>
    <m/>
    <m/>
    <m/>
    <m/>
    <n v="6"/>
    <s v="1"/>
    <s v="1"/>
    <m/>
    <m/>
    <m/>
    <m/>
    <m/>
    <m/>
    <m/>
    <m/>
    <m/>
  </r>
  <r>
    <s v="jfrusci"/>
    <s v="econus"/>
    <m/>
    <m/>
    <m/>
    <m/>
    <m/>
    <m/>
    <m/>
    <m/>
    <s v="No"/>
    <n v="265"/>
    <m/>
    <m/>
    <x v="1"/>
    <d v="2021-10-08T08:04:15.000"/>
    <s v="On “Babbage”, with @jonfasman:_x000a_- Could lab-grown and plant-based meat be the future of food?_x000a_- @GrownUnder explores the merits of vertical farming_x000a_- How cell-cultured seafood from @BlueNaluInc could replace traditional fish farming https://t.co/7qAQNujbDd via @EconUS"/>
    <s v="https://econ.trib.al/AoNqILv"/>
    <s v="trib.al"/>
    <x v="0"/>
    <m/>
    <s v="https://pbs.twimg.com/profile_images/1354343790060969990/Fqw5w_P0_normal.jpg"/>
    <x v="124"/>
    <d v="2021-10-08T00:00:00.000"/>
    <s v="08:04:15"/>
    <s v="https://twitter.com/jfrusci/status/1446385941086679076"/>
    <m/>
    <m/>
    <s v="1446385941086679076"/>
    <m/>
    <b v="0"/>
    <n v="2"/>
    <s v=""/>
    <b v="0"/>
    <s v="en"/>
    <m/>
    <s v=""/>
    <b v="0"/>
    <n v="1"/>
    <s v=""/>
    <s v="GroupTweet"/>
    <b v="0"/>
    <s v="1446385941086679076"/>
    <s v="Tweet"/>
    <n v="0"/>
    <n v="0"/>
    <m/>
    <m/>
    <m/>
    <m/>
    <m/>
    <m/>
    <m/>
    <m/>
    <n v="6"/>
    <s v="1"/>
    <s v="1"/>
    <m/>
    <m/>
    <m/>
    <m/>
    <m/>
    <m/>
    <m/>
    <m/>
    <m/>
  </r>
  <r>
    <s v="jfrusci"/>
    <s v="econus"/>
    <m/>
    <m/>
    <m/>
    <m/>
    <m/>
    <m/>
    <m/>
    <m/>
    <s v="No"/>
    <n v="266"/>
    <m/>
    <m/>
    <x v="1"/>
    <d v="2021-10-09T08:05:29.000"/>
    <s v="On “Babbage”, with @jonfasman:_x000a_- Could lab-grown and plant-based meat be the future of food?_x000a_- @GrownUnder explores the merits of vertical farming_x000a_- How cell-cultured seafood from @BlueNaluInc could replace traditional fish farming https://t.co/lqWQoDqvr3 via @EconUS"/>
    <s v="https://econ.trib.al/hX2OEYl"/>
    <s v="trib.al"/>
    <x v="0"/>
    <m/>
    <s v="https://pbs.twimg.com/profile_images/1354343790060969990/Fqw5w_P0_normal.jpg"/>
    <x v="125"/>
    <d v="2021-10-09T00:00:00.000"/>
    <s v="08:05:29"/>
    <s v="https://twitter.com/jfrusci/status/1446748639930552326"/>
    <m/>
    <m/>
    <s v="1446748639930552326"/>
    <m/>
    <b v="0"/>
    <n v="0"/>
    <s v=""/>
    <b v="0"/>
    <s v="en"/>
    <m/>
    <s v=""/>
    <b v="0"/>
    <n v="0"/>
    <s v=""/>
    <s v="GroupTweet"/>
    <b v="0"/>
    <s v="1446748639930552326"/>
    <s v="Tweet"/>
    <n v="0"/>
    <n v="0"/>
    <m/>
    <m/>
    <m/>
    <m/>
    <m/>
    <m/>
    <m/>
    <m/>
    <n v="6"/>
    <s v="1"/>
    <s v="1"/>
    <m/>
    <m/>
    <m/>
    <m/>
    <m/>
    <m/>
    <m/>
    <m/>
    <m/>
  </r>
  <r>
    <s v="jfrusci"/>
    <s v="econus"/>
    <m/>
    <m/>
    <m/>
    <m/>
    <m/>
    <m/>
    <m/>
    <m/>
    <s v="No"/>
    <n v="267"/>
    <m/>
    <m/>
    <x v="1"/>
    <d v="2021-10-10T08:04:09.000"/>
    <s v="On “Babbage”, with @jonfasman:_x000a_- Could lab-grown and plant-based meat be the future of food?_x000a_- @GrownUnder explores the merits of vertical farming_x000a_- How cell-cultured seafood from @BlueNaluInc could replace traditional fish farming https://t.co/q0nTepJ65I via @EconUS"/>
    <s v="https://econ.trib.al/fJkeRl8"/>
    <s v="trib.al"/>
    <x v="0"/>
    <m/>
    <s v="https://pbs.twimg.com/profile_images/1354343790060969990/Fqw5w_P0_normal.jpg"/>
    <x v="126"/>
    <d v="2021-10-10T00:00:00.000"/>
    <s v="08:04:09"/>
    <s v="https://twitter.com/jfrusci/status/1447110690217598979"/>
    <m/>
    <m/>
    <s v="1447110690217598979"/>
    <m/>
    <b v="0"/>
    <n v="0"/>
    <s v=""/>
    <b v="0"/>
    <s v="en"/>
    <m/>
    <s v=""/>
    <b v="0"/>
    <n v="1"/>
    <s v=""/>
    <s v="GroupTweet"/>
    <b v="0"/>
    <s v="1447110690217598979"/>
    <s v="Tweet"/>
    <n v="0"/>
    <n v="0"/>
    <m/>
    <m/>
    <m/>
    <m/>
    <m/>
    <m/>
    <m/>
    <m/>
    <n v="6"/>
    <s v="1"/>
    <s v="1"/>
    <m/>
    <m/>
    <m/>
    <m/>
    <m/>
    <m/>
    <m/>
    <m/>
    <m/>
  </r>
  <r>
    <s v="jfrusci"/>
    <s v="econus"/>
    <m/>
    <m/>
    <m/>
    <m/>
    <m/>
    <m/>
    <m/>
    <m/>
    <s v="No"/>
    <n v="268"/>
    <m/>
    <m/>
    <x v="1"/>
    <d v="2021-10-11T08:05:27.000"/>
    <s v="On “Babbage”, with @jonfasman:_x000a_- Could lab-grown and plant-based meat be the future of food?_x000a_- @GrownUnder explores the merits of vertical farming_x000a_- How cell-cultured seafood from @BlueNaluInc could replace traditional fish farming https://t.co/HzmfmsHqLS via @EconUS"/>
    <s v="https://econ.trib.al/6yo11AH"/>
    <s v="trib.al"/>
    <x v="0"/>
    <m/>
    <s v="https://pbs.twimg.com/profile_images/1354343790060969990/Fqw5w_P0_normal.jpg"/>
    <x v="127"/>
    <d v="2021-10-11T00:00:00.000"/>
    <s v="08:05:27"/>
    <s v="https://twitter.com/jfrusci/status/1447473406325239809"/>
    <m/>
    <m/>
    <s v="1447473406325239809"/>
    <m/>
    <b v="0"/>
    <n v="0"/>
    <s v=""/>
    <b v="0"/>
    <s v="en"/>
    <m/>
    <s v=""/>
    <b v="0"/>
    <n v="1"/>
    <s v=""/>
    <s v="GroupTweet"/>
    <b v="0"/>
    <s v="1447473406325239809"/>
    <s v="Tweet"/>
    <n v="0"/>
    <n v="0"/>
    <m/>
    <m/>
    <m/>
    <m/>
    <m/>
    <m/>
    <m/>
    <m/>
    <n v="6"/>
    <s v="1"/>
    <s v="1"/>
    <m/>
    <m/>
    <m/>
    <m/>
    <m/>
    <m/>
    <m/>
    <m/>
    <m/>
  </r>
  <r>
    <s v="oikos_solutions"/>
    <s v="econus"/>
    <m/>
    <m/>
    <m/>
    <m/>
    <m/>
    <m/>
    <m/>
    <m/>
    <s v="No"/>
    <n v="269"/>
    <m/>
    <m/>
    <x v="4"/>
    <d v="2021-10-07T08:28:50.000"/>
    <s v="On “Babbage”, with @jonfasman:_x000a_- Could lab-grown and plant-based meat be the future of food?_x000a_- @GrownUnder explores the merits of vertical farming_x000a_- How cell-cultured seafood from @BlueNaluInc could replace traditional fish farming https://t.co/aTDFDZtXLP"/>
    <s v="https://econ.trib.al/NL8KzOD"/>
    <s v="trib.al"/>
    <x v="0"/>
    <m/>
    <s v="https://pbs.twimg.com/profile_images/1191749200121348096/BmfItDOa_normal.jpg"/>
    <x v="128"/>
    <d v="2021-10-07T00:00:00.000"/>
    <s v="08:28:50"/>
    <s v="https://twitter.com/oikos_solutions/status/1446029739601367041"/>
    <m/>
    <m/>
    <s v="1446029739601367041"/>
    <m/>
    <b v="0"/>
    <n v="0"/>
    <s v=""/>
    <b v="0"/>
    <s v="en"/>
    <m/>
    <s v=""/>
    <b v="0"/>
    <n v="2"/>
    <s v="1446023267106578435"/>
    <s v="Oikos Solutions"/>
    <b v="0"/>
    <s v="1446023267106578435"/>
    <s v="Tweet"/>
    <n v="0"/>
    <n v="0"/>
    <m/>
    <m/>
    <m/>
    <m/>
    <m/>
    <m/>
    <m/>
    <m/>
    <n v="3"/>
    <s v="1"/>
    <s v="1"/>
    <m/>
    <m/>
    <m/>
    <m/>
    <m/>
    <m/>
    <m/>
    <m/>
    <m/>
  </r>
  <r>
    <s v="oikos_solutions"/>
    <s v="econus"/>
    <m/>
    <m/>
    <m/>
    <m/>
    <m/>
    <m/>
    <m/>
    <m/>
    <s v="No"/>
    <n v="270"/>
    <m/>
    <m/>
    <x v="4"/>
    <d v="2021-10-08T08:29:49.000"/>
    <s v="On “Babbage”, with @jonfasman:_x000a_- Could lab-grown and plant-based meat be the future of food?_x000a_- @GrownUnder explores the merits of vertical farming_x000a_- How cell-cultured seafood from @BlueNaluInc could replace traditional fish farming https://t.co/kpXp9xtbo9"/>
    <s v="https://econ.trib.al/AoNqILv"/>
    <s v="trib.al"/>
    <x v="0"/>
    <m/>
    <s v="https://pbs.twimg.com/profile_images/1191749200121348096/BmfItDOa_normal.jpg"/>
    <x v="129"/>
    <d v="2021-10-08T00:00:00.000"/>
    <s v="08:29:49"/>
    <s v="https://twitter.com/oikos_solutions/status/1446392374733725702"/>
    <m/>
    <m/>
    <s v="1446392374733725702"/>
    <m/>
    <b v="0"/>
    <n v="0"/>
    <s v=""/>
    <b v="0"/>
    <s v="en"/>
    <m/>
    <s v=""/>
    <b v="0"/>
    <n v="2"/>
    <s v="1446385652564701218"/>
    <s v="Oikos Solutions"/>
    <b v="0"/>
    <s v="1446385652564701218"/>
    <s v="Tweet"/>
    <n v="0"/>
    <n v="0"/>
    <m/>
    <m/>
    <m/>
    <m/>
    <m/>
    <m/>
    <m/>
    <m/>
    <n v="3"/>
    <s v="1"/>
    <s v="1"/>
    <m/>
    <m/>
    <m/>
    <m/>
    <m/>
    <m/>
    <m/>
    <m/>
    <m/>
  </r>
  <r>
    <s v="oikos_solutions"/>
    <s v="econus"/>
    <m/>
    <m/>
    <m/>
    <m/>
    <m/>
    <m/>
    <m/>
    <m/>
    <s v="No"/>
    <n v="271"/>
    <m/>
    <m/>
    <x v="2"/>
    <d v="2021-10-08T08:30:08.000"/>
    <s v="On “Babbage”, with @jonfasman:_x000a_- Could lab-grown and plant-based meat be the future of food?_x000a_- @GrownUnder explores the merits of vertical farming_x000a_- How cell-cultured seafood from @BlueNaluInc could replace traditional fish farming https://t.co/7qAQNujbDd via @EconUS"/>
    <s v="https://econ.trib.al/AoNqILv"/>
    <s v="trib.al"/>
    <x v="0"/>
    <m/>
    <s v="https://pbs.twimg.com/profile_images/1191749200121348096/BmfItDOa_normal.jpg"/>
    <x v="130"/>
    <d v="2021-10-08T00:00:00.000"/>
    <s v="08:30:08"/>
    <s v="https://twitter.com/oikos_solutions/status/1446392454148677642"/>
    <m/>
    <m/>
    <s v="1446392454148677642"/>
    <m/>
    <b v="0"/>
    <n v="0"/>
    <s v=""/>
    <b v="0"/>
    <s v="en"/>
    <m/>
    <s v=""/>
    <b v="0"/>
    <n v="1"/>
    <s v="1446385941086679076"/>
    <s v="Oikos Solutions"/>
    <b v="0"/>
    <s v="1446385941086679076"/>
    <s v="Tweet"/>
    <n v="0"/>
    <n v="0"/>
    <m/>
    <m/>
    <m/>
    <m/>
    <m/>
    <m/>
    <m/>
    <m/>
    <n v="3"/>
    <s v="1"/>
    <s v="1"/>
    <m/>
    <m/>
    <m/>
    <m/>
    <m/>
    <m/>
    <m/>
    <m/>
    <m/>
  </r>
  <r>
    <s v="oikos_solutions"/>
    <s v="econus"/>
    <m/>
    <m/>
    <m/>
    <m/>
    <m/>
    <m/>
    <m/>
    <m/>
    <s v="No"/>
    <n v="272"/>
    <m/>
    <m/>
    <x v="4"/>
    <d v="2021-10-10T08:29:23.000"/>
    <s v="On “Babbage”, with @jonfasman:_x000a_- Could lab-grown and plant-based meat be the future of food?_x000a_- @GrownUnder explores the merits of vertical farming_x000a_- How cell-cultured seafood from @BlueNaluInc could replace traditional fish farming https://t.co/iRl0iMSUud"/>
    <s v="https://econ.trib.al/fJkeRl8"/>
    <s v="trib.al"/>
    <x v="0"/>
    <m/>
    <s v="https://pbs.twimg.com/profile_images/1191749200121348096/BmfItDOa_normal.jpg"/>
    <x v="131"/>
    <d v="2021-10-10T00:00:00.000"/>
    <s v="08:29:23"/>
    <s v="https://twitter.com/oikos_solutions/status/1447117042851749890"/>
    <m/>
    <m/>
    <s v="1447117042851749890"/>
    <m/>
    <b v="0"/>
    <n v="0"/>
    <s v=""/>
    <b v="0"/>
    <s v="en"/>
    <m/>
    <s v=""/>
    <b v="0"/>
    <n v="1"/>
    <s v="1447110417910747137"/>
    <s v="Oikos Solutions"/>
    <b v="0"/>
    <s v="1447110417910747137"/>
    <s v="Tweet"/>
    <n v="0"/>
    <n v="0"/>
    <m/>
    <m/>
    <m/>
    <m/>
    <m/>
    <m/>
    <m/>
    <m/>
    <n v="3"/>
    <s v="1"/>
    <s v="1"/>
    <m/>
    <m/>
    <m/>
    <m/>
    <m/>
    <m/>
    <m/>
    <m/>
    <m/>
  </r>
  <r>
    <s v="oikos_solutions"/>
    <s v="econus"/>
    <m/>
    <m/>
    <m/>
    <m/>
    <m/>
    <m/>
    <m/>
    <m/>
    <s v="No"/>
    <n v="273"/>
    <m/>
    <m/>
    <x v="2"/>
    <d v="2021-10-10T08:29:52.000"/>
    <s v="On “Babbage”, with @jonfasman:_x000a_- Could lab-grown and plant-based meat be the future of food?_x000a_- @GrownUnder explores the merits of vertical farming_x000a_- How cell-cultured seafood from @BlueNaluInc could replace traditional fish farming https://t.co/q0nTepJ65I via @EconUS"/>
    <s v="https://econ.trib.al/fJkeRl8"/>
    <s v="trib.al"/>
    <x v="0"/>
    <m/>
    <s v="https://pbs.twimg.com/profile_images/1191749200121348096/BmfItDOa_normal.jpg"/>
    <x v="132"/>
    <d v="2021-10-10T00:00:00.000"/>
    <s v="08:29:52"/>
    <s v="https://twitter.com/oikos_solutions/status/1447117163072999424"/>
    <m/>
    <m/>
    <s v="1447117163072999424"/>
    <m/>
    <b v="0"/>
    <n v="0"/>
    <s v=""/>
    <b v="0"/>
    <s v="en"/>
    <m/>
    <s v=""/>
    <b v="0"/>
    <n v="1"/>
    <s v="1447110690217598979"/>
    <s v="Oikos Solutions"/>
    <b v="0"/>
    <s v="1447110690217598979"/>
    <s v="Tweet"/>
    <n v="0"/>
    <n v="0"/>
    <m/>
    <m/>
    <m/>
    <m/>
    <m/>
    <m/>
    <m/>
    <m/>
    <n v="3"/>
    <s v="1"/>
    <s v="1"/>
    <m/>
    <m/>
    <m/>
    <m/>
    <m/>
    <m/>
    <m/>
    <m/>
    <m/>
  </r>
  <r>
    <s v="oikos_solutions"/>
    <s v="econus"/>
    <m/>
    <m/>
    <m/>
    <m/>
    <m/>
    <m/>
    <m/>
    <m/>
    <s v="No"/>
    <n v="274"/>
    <m/>
    <m/>
    <x v="2"/>
    <d v="2021-10-11T08:28:50.000"/>
    <s v="On “Babbage”, with @jonfasman:_x000a_- Could lab-grown and plant-based meat be the future of food?_x000a_- @GrownUnder explores the merits of vertical farming_x000a_- How cell-cultured seafood from @BlueNaluInc could replace traditional fish farming https://t.co/HzmfmsHqLS via @EconUS"/>
    <s v="https://econ.trib.al/6yo11AH"/>
    <s v="trib.al"/>
    <x v="0"/>
    <m/>
    <s v="https://pbs.twimg.com/profile_images/1191749200121348096/BmfItDOa_normal.jpg"/>
    <x v="133"/>
    <d v="2021-10-11T00:00:00.000"/>
    <s v="08:28:50"/>
    <s v="https://twitter.com/oikos_solutions/status/1447479289088253952"/>
    <m/>
    <m/>
    <s v="1447479289088253952"/>
    <m/>
    <b v="0"/>
    <n v="0"/>
    <s v=""/>
    <b v="0"/>
    <s v="en"/>
    <m/>
    <s v=""/>
    <b v="0"/>
    <n v="1"/>
    <s v="1447473406325239809"/>
    <s v="Oikos Solutions"/>
    <b v="0"/>
    <s v="1447473406325239809"/>
    <s v="Tweet"/>
    <n v="0"/>
    <n v="0"/>
    <m/>
    <m/>
    <m/>
    <m/>
    <m/>
    <m/>
    <m/>
    <m/>
    <n v="3"/>
    <s v="1"/>
    <s v="1"/>
    <m/>
    <m/>
    <m/>
    <m/>
    <m/>
    <m/>
    <m/>
    <m/>
    <m/>
  </r>
  <r>
    <s v="oikos_solutions"/>
    <s v="bluenaluinc"/>
    <m/>
    <m/>
    <m/>
    <m/>
    <m/>
    <m/>
    <m/>
    <m/>
    <s v="No"/>
    <n v="299"/>
    <m/>
    <m/>
    <x v="2"/>
    <d v="2021-10-07T23:31:15.000"/>
    <s v="On “Babbage”, with @jonfasman:_x000a_- Could lab-grown and plant-based meat be the future of food?_x000a_- @GrownUnder explores the merits of vertical farming_x000a_- How cell-cultured seafood from @BlueNaluInc could replace traditional fish farming https://t.co/oHLccK4BSA"/>
    <s v="https://www.economist.com/podcasts/2021/10/05/a-new-anthropocene-diet-the-future-of-food?utm_campaign=editorial-social&amp;utm_medium=social-organic&amp;utm_source=twitter"/>
    <s v="economist.com"/>
    <x v="0"/>
    <m/>
    <s v="https://pbs.twimg.com/profile_images/1191749200121348096/BmfItDOa_normal.jpg"/>
    <x v="134"/>
    <d v="2021-10-07T00:00:00.000"/>
    <s v="23:31:15"/>
    <s v="https://twitter.com/oikos_solutions/status/1446256838392098821"/>
    <m/>
    <m/>
    <s v="1446256838392098821"/>
    <m/>
    <b v="0"/>
    <n v="0"/>
    <s v=""/>
    <b v="0"/>
    <s v="en"/>
    <m/>
    <s v=""/>
    <b v="0"/>
    <n v="1"/>
    <s v="1446249242553630728"/>
    <s v="Oikos Solutions"/>
    <b v="0"/>
    <s v="1446249242553630728"/>
    <s v="Tweet"/>
    <n v="0"/>
    <n v="0"/>
    <m/>
    <m/>
    <m/>
    <m/>
    <m/>
    <m/>
    <m/>
    <m/>
    <n v="9"/>
    <s v="1"/>
    <s v="1"/>
    <m/>
    <m/>
    <m/>
    <m/>
    <m/>
    <m/>
    <m/>
    <m/>
    <m/>
  </r>
  <r>
    <s v="oikos_solutions"/>
    <s v="bluenaluinc"/>
    <m/>
    <m/>
    <m/>
    <m/>
    <m/>
    <m/>
    <m/>
    <m/>
    <s v="No"/>
    <n v="309"/>
    <m/>
    <m/>
    <x v="2"/>
    <d v="2021-10-09T04:30:35.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1191749200121348096/BmfItDOa_normal.jpg"/>
    <x v="135"/>
    <d v="2021-10-09T00:00:00.000"/>
    <s v="04:30:35"/>
    <s v="https://twitter.com/oikos_solutions/status/1446694559455531008"/>
    <m/>
    <m/>
    <s v="1446694559455531008"/>
    <m/>
    <b v="0"/>
    <n v="0"/>
    <s v=""/>
    <b v="0"/>
    <s v="en"/>
    <m/>
    <s v=""/>
    <b v="0"/>
    <n v="12"/>
    <s v="1446686897695305740"/>
    <s v="Oikos Solutions"/>
    <b v="0"/>
    <s v="1446686897695305740"/>
    <s v="Tweet"/>
    <n v="0"/>
    <n v="0"/>
    <m/>
    <m/>
    <m/>
    <m/>
    <m/>
    <m/>
    <m/>
    <m/>
    <n v="9"/>
    <s v="1"/>
    <s v="1"/>
    <m/>
    <m/>
    <m/>
    <m/>
    <m/>
    <m/>
    <m/>
    <m/>
    <m/>
  </r>
  <r>
    <s v="oikos_solutions"/>
    <s v="bluenaluinc"/>
    <m/>
    <m/>
    <m/>
    <m/>
    <m/>
    <m/>
    <m/>
    <m/>
    <s v="No"/>
    <n v="319"/>
    <m/>
    <m/>
    <x v="2"/>
    <d v="2021-10-11T04:28:50.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1191749200121348096/BmfItDOa_normal.jpg"/>
    <x v="136"/>
    <d v="2021-10-11T00:00:00.000"/>
    <s v="04:28:50"/>
    <s v="https://twitter.com/oikos_solutions/status/1447418893706870785"/>
    <m/>
    <m/>
    <s v="1447418893706870785"/>
    <m/>
    <b v="0"/>
    <n v="0"/>
    <s v=""/>
    <b v="0"/>
    <s v="en"/>
    <m/>
    <s v=""/>
    <b v="0"/>
    <n v="10"/>
    <s v="1447411644942929923"/>
    <s v="Oikos Solutions"/>
    <b v="0"/>
    <s v="1447411644942929923"/>
    <s v="Tweet"/>
    <n v="0"/>
    <n v="0"/>
    <m/>
    <m/>
    <m/>
    <m/>
    <m/>
    <m/>
    <m/>
    <m/>
    <n v="9"/>
    <s v="1"/>
    <s v="1"/>
    <m/>
    <m/>
    <m/>
    <m/>
    <m/>
    <m/>
    <m/>
    <m/>
    <m/>
  </r>
  <r>
    <s v="tigrinyan"/>
    <s v="bluenaluinc"/>
    <m/>
    <m/>
    <m/>
    <m/>
    <m/>
    <m/>
    <m/>
    <m/>
    <s v="No"/>
    <n v="326"/>
    <m/>
    <m/>
    <x v="2"/>
    <d v="2021-10-11T08:36:53.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498539790849933314/u5A3CD6G_normal.jpeg"/>
    <x v="137"/>
    <d v="2021-10-11T00:00:00.000"/>
    <s v="08:36:53"/>
    <s v="https://twitter.com/tigrinyan/status/1447481318284070915"/>
    <m/>
    <m/>
    <s v="1447481318284070915"/>
    <m/>
    <b v="0"/>
    <n v="0"/>
    <s v=""/>
    <b v="0"/>
    <s v="en"/>
    <m/>
    <s v=""/>
    <b v="0"/>
    <n v="10"/>
    <s v="1447411644942929923"/>
    <s v="Twitter for Android"/>
    <b v="0"/>
    <s v="1447411644942929923"/>
    <s v="Tweet"/>
    <n v="0"/>
    <n v="0"/>
    <m/>
    <m/>
    <m/>
    <m/>
    <m/>
    <m/>
    <m/>
    <m/>
    <n v="1"/>
    <s v="1"/>
    <s v="1"/>
    <m/>
    <m/>
    <m/>
    <m/>
    <m/>
    <m/>
    <m/>
    <m/>
    <m/>
  </r>
  <r>
    <s v="jshpigler"/>
    <s v="meatech3d"/>
    <m/>
    <m/>
    <m/>
    <m/>
    <m/>
    <m/>
    <m/>
    <m/>
    <s v="No"/>
    <n v="330"/>
    <m/>
    <m/>
    <x v="2"/>
    <d v="2021-10-11T09:02:09.000"/>
    <s v="If 3D printed meat made without animals takes off, you might have @aplusk to thank. #AshtonKutcher #slaughterfree @MeaTech3D _x000a__x000a_https://t.co/D4Hkw5GiJI"/>
    <s v="https://vegnews.com/2021/10/ashton-kutcher-cell-based-meat"/>
    <s v="vegnews.com"/>
    <x v="11"/>
    <m/>
    <s v="https://pbs.twimg.com/profile_images/1420068976957210624/Wjpu0_Mk_normal.jpg"/>
    <x v="138"/>
    <d v="2021-10-11T00:00:00.000"/>
    <s v="09:02:09"/>
    <s v="https://twitter.com/jshpigler/status/1447487674202394624"/>
    <m/>
    <m/>
    <s v="1447487674202394624"/>
    <m/>
    <b v="0"/>
    <n v="0"/>
    <s v=""/>
    <b v="0"/>
    <s v="en"/>
    <m/>
    <s v=""/>
    <b v="0"/>
    <n v="6"/>
    <s v="1446886176443539461"/>
    <s v="Twitter Web App"/>
    <b v="0"/>
    <s v="1446886176443539461"/>
    <s v="Tweet"/>
    <n v="0"/>
    <n v="0"/>
    <m/>
    <m/>
    <m/>
    <m/>
    <m/>
    <m/>
    <m/>
    <m/>
    <n v="1"/>
    <s v="4"/>
    <s v="4"/>
    <m/>
    <m/>
    <m/>
    <m/>
    <m/>
    <m/>
    <m/>
    <m/>
    <m/>
  </r>
  <r>
    <s v="animalsujet"/>
    <s v="animalsujet"/>
    <m/>
    <m/>
    <m/>
    <m/>
    <m/>
    <m/>
    <m/>
    <m/>
    <s v="No"/>
    <n v="333"/>
    <m/>
    <m/>
    <x v="0"/>
    <d v="2021-10-11T09:11:16.000"/>
    <s v="&quot;67% of people in the study said they were highly likely to try plant-based meat — for cell-cultured, the figure was 60%. 59% and 53% were highly likely to purchase plant-based and cell-cultured meat respectively.&quot;_x000a_https://t.co/8TvsZFHId4"/>
    <s v="https://vegconomist.com/studies-and-numbers/study-finds-over-half-of-south-africans-are-highly-likely-to-buy-alt-meat-products/"/>
    <s v="vegconomist.com"/>
    <x v="0"/>
    <m/>
    <s v="https://pbs.twimg.com/profile_images/1284061129816367104/bEv3De_Q_normal.jpg"/>
    <x v="139"/>
    <d v="2021-10-11T00:00:00.000"/>
    <s v="09:11:16"/>
    <s v="https://twitter.com/animalsujet/status/1447489967899480066"/>
    <m/>
    <m/>
    <s v="1447489967899480066"/>
    <m/>
    <b v="0"/>
    <n v="0"/>
    <s v=""/>
    <b v="0"/>
    <s v="en"/>
    <m/>
    <s v=""/>
    <b v="0"/>
    <n v="0"/>
    <s v=""/>
    <s v="Twitter Web App"/>
    <b v="0"/>
    <s v="1447489967899480066"/>
    <s v="Tweet"/>
    <n v="0"/>
    <n v="0"/>
    <m/>
    <m/>
    <m/>
    <m/>
    <m/>
    <m/>
    <m/>
    <m/>
    <n v="1"/>
    <s v="2"/>
    <s v="2"/>
    <n v="0"/>
    <n v="0"/>
    <n v="0"/>
    <n v="0"/>
    <n v="0"/>
    <n v="0"/>
    <n v="38"/>
    <n v="100"/>
    <n v="38"/>
  </r>
  <r>
    <s v="makers_movement"/>
    <s v="makers_movement"/>
    <m/>
    <m/>
    <m/>
    <m/>
    <m/>
    <m/>
    <m/>
    <m/>
    <s v="No"/>
    <n v="334"/>
    <m/>
    <m/>
    <x v="0"/>
    <d v="2021-10-11T12:38:53.000"/>
    <s v="Ashton Kutcher Group Teams with Bioprinted Alt Meat Startup MeaTech   At the forefront of the cultured meat revolution, MeaTech develops 3D bioprinting technologies to produce premium industrial animal cell-based meat cuts as a sustainable alternative to… https://t.co/bpjGbtNwN2 https://t.co/wh1F97P19q"/>
    <s v="https://3dprint.com/285770/ashton-kutcher-group-teams-with-bioprinted-alt-meat-startup-meatech/"/>
    <s v="3dprint.com"/>
    <x v="0"/>
    <s v="https://pbs.twimg.com/media/FBaz-aLWUAA0dy8.jpg"/>
    <s v="https://pbs.twimg.com/media/FBaz-aLWUAA0dy8.jpg"/>
    <x v="140"/>
    <d v="2021-10-11T00:00:00.000"/>
    <s v="12:38:53"/>
    <s v="https://twitter.com/makers_movement/status/1447542217271386117"/>
    <m/>
    <m/>
    <s v="1447542217271386117"/>
    <m/>
    <b v="0"/>
    <n v="0"/>
    <s v=""/>
    <b v="0"/>
    <s v="en"/>
    <m/>
    <s v=""/>
    <b v="0"/>
    <n v="0"/>
    <s v=""/>
    <s v="IFTTT"/>
    <b v="0"/>
    <s v="1447542217271386117"/>
    <s v="Tweet"/>
    <n v="0"/>
    <n v="0"/>
    <m/>
    <m/>
    <m/>
    <m/>
    <m/>
    <m/>
    <m/>
    <m/>
    <n v="1"/>
    <s v="2"/>
    <s v="2"/>
    <n v="1"/>
    <n v="2.7027027027027026"/>
    <n v="0"/>
    <n v="0"/>
    <n v="0"/>
    <n v="0"/>
    <n v="36"/>
    <n v="97.29729729729729"/>
    <n v="37"/>
  </r>
  <r>
    <s v="vegansfacts"/>
    <s v="vegansfacts"/>
    <m/>
    <m/>
    <m/>
    <m/>
    <m/>
    <m/>
    <m/>
    <m/>
    <s v="No"/>
    <n v="335"/>
    <m/>
    <m/>
    <x v="0"/>
    <d v="2021-10-11T15:43:54.000"/>
    <s v="ASHTON KUTCHER JOINS CELL-BASED MEAT COMPANY TO DEVELOP 3D BIOPRINTING_x000a__x000a_#vegan #plantbased #vegano #veganism https://t.co/eHx09NkQ1d"/>
    <m/>
    <m/>
    <x v="13"/>
    <s v="https://pbs.twimg.com/media/FBbeG7hXMAAG8sY.jpg"/>
    <s v="https://pbs.twimg.com/media/FBbeG7hXMAAG8sY.jpg"/>
    <x v="141"/>
    <d v="2021-10-11T00:00:00.000"/>
    <s v="15:43:54"/>
    <s v="https://twitter.com/vegansfacts/status/1447588777141149698"/>
    <m/>
    <m/>
    <s v="1447588777141149698"/>
    <m/>
    <b v="0"/>
    <n v="1"/>
    <s v=""/>
    <b v="0"/>
    <s v="en"/>
    <m/>
    <s v=""/>
    <b v="0"/>
    <n v="0"/>
    <s v=""/>
    <s v="TweetDeck"/>
    <b v="0"/>
    <s v="1447588777141149698"/>
    <s v="Tweet"/>
    <n v="0"/>
    <n v="0"/>
    <m/>
    <m/>
    <m/>
    <m/>
    <m/>
    <m/>
    <m/>
    <m/>
    <n v="1"/>
    <s v="2"/>
    <s v="2"/>
    <n v="0"/>
    <n v="0"/>
    <n v="0"/>
    <n v="0"/>
    <n v="0"/>
    <n v="0"/>
    <n v="15"/>
    <n v="100"/>
    <n v="15"/>
  </r>
  <r>
    <s v="kobergcapital"/>
    <s v="kobergcapital"/>
    <m/>
    <m/>
    <m/>
    <m/>
    <m/>
    <m/>
    <m/>
    <m/>
    <s v="No"/>
    <n v="336"/>
    <m/>
    <m/>
    <x v="0"/>
    <d v="2021-10-11T15:46:58.000"/>
    <s v="Our belief is that through more investment and scientific development of these products, we stand a better chance of transitioning current meat eaters to cell or plant-based meat, faster. Better meat, better world."/>
    <m/>
    <m/>
    <x v="0"/>
    <m/>
    <s v="https://pbs.twimg.com/profile_images/1447267260033224704/XlKckFsW_normal.jpg"/>
    <x v="142"/>
    <d v="2021-10-11T00:00:00.000"/>
    <s v="15:46:58"/>
    <s v="https://twitter.com/kobergcapital/status/1447589551120154628"/>
    <m/>
    <m/>
    <s v="1447589551120154628"/>
    <s v="1447589549610176512"/>
    <b v="0"/>
    <n v="0"/>
    <s v="1447257143657127939"/>
    <b v="0"/>
    <s v="en"/>
    <m/>
    <s v=""/>
    <b v="0"/>
    <n v="0"/>
    <s v=""/>
    <s v="Twitter Web App"/>
    <b v="0"/>
    <s v="1447589549610176512"/>
    <s v="Tweet"/>
    <n v="0"/>
    <n v="0"/>
    <m/>
    <m/>
    <m/>
    <m/>
    <m/>
    <m/>
    <m/>
    <m/>
    <n v="1"/>
    <s v="2"/>
    <s v="2"/>
    <n v="4"/>
    <n v="11.764705882352942"/>
    <n v="0"/>
    <n v="0"/>
    <n v="0"/>
    <n v="0"/>
    <n v="30"/>
    <n v="88.23529411764706"/>
    <n v="34"/>
  </r>
  <r>
    <s v="economistpods"/>
    <s v="pacificoaqua_bc"/>
    <m/>
    <m/>
    <m/>
    <m/>
    <m/>
    <m/>
    <m/>
    <m/>
    <s v="No"/>
    <n v="337"/>
    <m/>
    <m/>
    <x v="1"/>
    <d v="2021-10-05T23:01:40.000"/>
    <s v="On “Babbage”, with @jonfasman:_x000a_- Could lab-grown and plant-based meat be the future of food?_x000a_- @GrownUnder explores the merits of vertical farming_x000a_- How cell-cultured seafood from @Pacificoaqua_bc could replace traditional fish farming https://t.co/AGxSoly90d"/>
    <s v="https://www.economist.com/podcasts/2021/10/05/a-new-anthropocene-diet-the-future-of-food?utm_campaign=editorial-social&amp;utm_medium=social-organic&amp;utm_source=twitter"/>
    <s v="economist.com"/>
    <x v="0"/>
    <m/>
    <s v="https://pbs.twimg.com/profile_images/879700936704315392/WxI5eCW5_normal.jpg"/>
    <x v="143"/>
    <d v="2021-10-05T00:00:00.000"/>
    <s v="23:01:40"/>
    <s v="https://twitter.com/economistpods/status/1445524618702327811"/>
    <m/>
    <m/>
    <s v="1445524618702327811"/>
    <m/>
    <b v="0"/>
    <n v="0"/>
    <s v=""/>
    <b v="0"/>
    <s v="en"/>
    <m/>
    <s v=""/>
    <b v="0"/>
    <n v="0"/>
    <s v=""/>
    <s v="SocialFlow"/>
    <b v="0"/>
    <s v="1445524618702327811"/>
    <s v="Tweet"/>
    <n v="0"/>
    <n v="0"/>
    <m/>
    <m/>
    <m/>
    <m/>
    <m/>
    <m/>
    <m/>
    <m/>
    <n v="1"/>
    <s v="1"/>
    <s v="1"/>
    <n v="0"/>
    <n v="0"/>
    <n v="0"/>
    <n v="0"/>
    <n v="0"/>
    <n v="0"/>
    <n v="34"/>
    <n v="100"/>
    <n v="34"/>
  </r>
  <r>
    <s v="theeconomist"/>
    <s v="bluenaluinc"/>
    <m/>
    <m/>
    <m/>
    <m/>
    <m/>
    <m/>
    <m/>
    <m/>
    <s v="No"/>
    <n v="339"/>
    <m/>
    <m/>
    <x v="1"/>
    <d v="2021-10-07T10:00:15.000"/>
    <s v="On “Babbage”, with @jonfasman:_x000a_- Could lab-grown and plant-based meat be the future of food?_x000a_- @GrownUnder explores the merits of vertical farming_x000a_- How cell-cultured seafood from @BlueNaluInc could replace traditional fish farming https://t.co/3PiHMTtzSb"/>
    <s v="https://econ.trib.al/UuLdSAj"/>
    <s v="trib.al"/>
    <x v="0"/>
    <m/>
    <s v="https://pbs.twimg.com/profile_images/879361767914262528/HdRauDM-_normal.jpg"/>
    <x v="144"/>
    <d v="2021-10-07T00:00:00.000"/>
    <s v="10:00:15"/>
    <s v="https://twitter.com/theeconomist/status/1446052745350365184"/>
    <m/>
    <m/>
    <s v="1446052745350365184"/>
    <m/>
    <b v="0"/>
    <n v="24"/>
    <s v=""/>
    <b v="0"/>
    <s v="en"/>
    <m/>
    <s v=""/>
    <b v="0"/>
    <n v="11"/>
    <s v=""/>
    <s v="SocialFlow"/>
    <b v="0"/>
    <s v="1446052745350365184"/>
    <s v="Tweet"/>
    <n v="0"/>
    <n v="0"/>
    <m/>
    <m/>
    <m/>
    <m/>
    <m/>
    <m/>
    <m/>
    <m/>
    <n v="3"/>
    <s v="1"/>
    <s v="1"/>
    <m/>
    <m/>
    <m/>
    <m/>
    <m/>
    <m/>
    <m/>
    <m/>
    <m/>
  </r>
  <r>
    <s v="theeconomist"/>
    <s v="bluenaluinc"/>
    <m/>
    <m/>
    <m/>
    <m/>
    <m/>
    <m/>
    <m/>
    <m/>
    <s v="No"/>
    <n v="340"/>
    <m/>
    <m/>
    <x v="1"/>
    <d v="2021-10-09T04:00:09.000"/>
    <s v="On “Babbage”, with @jonfasman:_x000a_- Could lab-grown and plant-based meat be the future of food?_x000a_- @GrownUnder explores the merits of vertical farming_x000a_- How cell-cultured seafood from @BlueNaluInc could replace traditional fish farming https://t.co/vSPtHDWAoh"/>
    <s v="https://econ.trib.al/B6siniM"/>
    <s v="trib.al"/>
    <x v="0"/>
    <m/>
    <s v="https://pbs.twimg.com/profile_images/879361767914262528/HdRauDM-_normal.jpg"/>
    <x v="145"/>
    <d v="2021-10-09T00:00:00.000"/>
    <s v="04:00:09"/>
    <s v="https://twitter.com/theeconomist/status/1446686897695305740"/>
    <m/>
    <m/>
    <s v="1446686897695305740"/>
    <m/>
    <b v="0"/>
    <n v="28"/>
    <s v=""/>
    <b v="0"/>
    <s v="en"/>
    <m/>
    <s v=""/>
    <b v="0"/>
    <n v="12"/>
    <s v=""/>
    <s v="SocialFlow"/>
    <b v="0"/>
    <s v="1446686897695305740"/>
    <s v="Tweet"/>
    <n v="0"/>
    <n v="0"/>
    <m/>
    <m/>
    <m/>
    <m/>
    <m/>
    <m/>
    <m/>
    <m/>
    <n v="3"/>
    <s v="1"/>
    <s v="1"/>
    <m/>
    <m/>
    <m/>
    <m/>
    <m/>
    <m/>
    <m/>
    <m/>
    <m/>
  </r>
  <r>
    <s v="theeconomist"/>
    <s v="bluenaluinc"/>
    <m/>
    <m/>
    <m/>
    <m/>
    <m/>
    <m/>
    <m/>
    <m/>
    <s v="No"/>
    <n v="341"/>
    <m/>
    <m/>
    <x v="1"/>
    <d v="2021-10-11T04:00:02.000"/>
    <s v="On “Babbage”, with @jonfasman:_x000a_- Could lab-grown and plant-based meat be the future of food?_x000a_- @GrownUnder explores the merits of vertical farming_x000a_- How cell-cultured seafood from @BlueNaluInc could replace traditional fish farming https://t.co/WVRwLLHuXm"/>
    <s v="https://econ.trib.al/w1YeE88"/>
    <s v="trib.al"/>
    <x v="0"/>
    <m/>
    <s v="https://pbs.twimg.com/profile_images/879361767914262528/HdRauDM-_normal.jpg"/>
    <x v="146"/>
    <d v="2021-10-11T00:00:00.000"/>
    <s v="04:00:02"/>
    <s v="https://twitter.com/theeconomist/status/1447411644942929923"/>
    <m/>
    <m/>
    <s v="1447411644942929923"/>
    <m/>
    <b v="0"/>
    <n v="32"/>
    <s v=""/>
    <b v="0"/>
    <s v="en"/>
    <m/>
    <s v=""/>
    <b v="0"/>
    <n v="10"/>
    <s v=""/>
    <s v="SocialFlow"/>
    <b v="0"/>
    <s v="1447411644942929923"/>
    <s v="Tweet"/>
    <n v="0"/>
    <n v="0"/>
    <m/>
    <m/>
    <m/>
    <m/>
    <m/>
    <m/>
    <m/>
    <m/>
    <n v="3"/>
    <s v="1"/>
    <s v="1"/>
    <m/>
    <m/>
    <m/>
    <m/>
    <m/>
    <m/>
    <m/>
    <m/>
    <m/>
  </r>
  <r>
    <s v="economistpods"/>
    <s v="bluenaluinc"/>
    <m/>
    <m/>
    <m/>
    <m/>
    <m/>
    <m/>
    <m/>
    <m/>
    <s v="No"/>
    <n v="342"/>
    <m/>
    <m/>
    <x v="1"/>
    <d v="2021-10-06T23:01:07.000"/>
    <s v="On “Babbage”, with @jonfasman:_x000a_- Could lab-grown and plant-based meat be the future of food?_x000a_- @GrownUnder explores the merits of vertical farming_x000a_- How cell-cultured seafood from @BlueNaluInc could replace traditional fish farming https://t.co/ldejY1ZRQ3"/>
    <s v="https://www.economist.com/podcasts/2021/10/05/a-new-anthropocene-diet-the-future-of-food?utm_campaign=editorial-social&amp;utm_medium=social-organic&amp;utm_source=twitter"/>
    <s v="economist.com"/>
    <x v="0"/>
    <m/>
    <s v="https://pbs.twimg.com/profile_images/879700936704315392/WxI5eCW5_normal.jpg"/>
    <x v="147"/>
    <d v="2021-10-06T00:00:00.000"/>
    <s v="23:01:07"/>
    <s v="https://twitter.com/economistpods/status/1445886868562796545"/>
    <m/>
    <m/>
    <s v="1445886868562796545"/>
    <m/>
    <b v="0"/>
    <n v="0"/>
    <s v=""/>
    <b v="0"/>
    <s v="en"/>
    <m/>
    <s v=""/>
    <b v="0"/>
    <n v="0"/>
    <s v=""/>
    <s v="SocialFlow"/>
    <b v="0"/>
    <s v="1445886868562796545"/>
    <s v="Tweet"/>
    <n v="0"/>
    <n v="0"/>
    <m/>
    <m/>
    <m/>
    <m/>
    <m/>
    <m/>
    <m/>
    <m/>
    <n v="6"/>
    <s v="1"/>
    <s v="1"/>
    <m/>
    <m/>
    <m/>
    <m/>
    <m/>
    <m/>
    <m/>
    <m/>
    <m/>
  </r>
  <r>
    <s v="economistpods"/>
    <s v="bluenaluinc"/>
    <m/>
    <m/>
    <m/>
    <m/>
    <m/>
    <m/>
    <m/>
    <m/>
    <s v="No"/>
    <n v="343"/>
    <m/>
    <m/>
    <x v="1"/>
    <d v="2021-10-07T23:01:04.000"/>
    <s v="On “Babbage”, with @jonfasman:_x000a_- Could lab-grown and plant-based meat be the future of food?_x000a_- @GrownUnder explores the merits of vertical farming_x000a_- How cell-cultured seafood from @BlueNaluInc could replace traditional fish farming https://t.co/oHLccK4BSA"/>
    <s v="https://www.economist.com/podcasts/2021/10/05/a-new-anthropocene-diet-the-future-of-food?utm_campaign=editorial-social&amp;utm_medium=social-organic&amp;utm_source=twitter"/>
    <s v="economist.com"/>
    <x v="0"/>
    <m/>
    <s v="https://pbs.twimg.com/profile_images/879700936704315392/WxI5eCW5_normal.jpg"/>
    <x v="148"/>
    <d v="2021-10-07T00:00:00.000"/>
    <s v="23:01:04"/>
    <s v="https://twitter.com/economistpods/status/1446249242553630728"/>
    <m/>
    <m/>
    <s v="1446249242553630728"/>
    <m/>
    <b v="0"/>
    <n v="1"/>
    <s v=""/>
    <b v="0"/>
    <s v="en"/>
    <m/>
    <s v=""/>
    <b v="0"/>
    <n v="1"/>
    <s v=""/>
    <s v="SocialFlow"/>
    <b v="0"/>
    <s v="1446249242553630728"/>
    <s v="Tweet"/>
    <n v="0"/>
    <n v="0"/>
    <m/>
    <m/>
    <m/>
    <m/>
    <m/>
    <m/>
    <m/>
    <m/>
    <n v="6"/>
    <s v="1"/>
    <s v="1"/>
    <m/>
    <m/>
    <m/>
    <m/>
    <m/>
    <m/>
    <m/>
    <m/>
    <m/>
  </r>
  <r>
    <s v="economistpods"/>
    <s v="bluenaluinc"/>
    <m/>
    <m/>
    <m/>
    <m/>
    <m/>
    <m/>
    <m/>
    <m/>
    <s v="No"/>
    <n v="344"/>
    <m/>
    <m/>
    <x v="1"/>
    <d v="2021-10-08T23:01:03.000"/>
    <s v="On “Babbage”, with @jonfasman:_x000a_- Could lab-grown and plant-based meat be the future of food?_x000a_- @GrownUnder explores the merits of vertical farming_x000a_- How cell-cultured seafood from @BlueNaluInc could replace traditional fish farming https://t.co/9OdFAlIo7y"/>
    <s v="https://www.economist.com/podcasts/2021/10/05/a-new-anthropocene-diet-the-future-of-food?utm_campaign=editorial-social&amp;utm_medium=social-organic&amp;utm_source=twitter"/>
    <s v="economist.com"/>
    <x v="0"/>
    <m/>
    <s v="https://pbs.twimg.com/profile_images/879700936704315392/WxI5eCW5_normal.jpg"/>
    <x v="149"/>
    <d v="2021-10-08T00:00:00.000"/>
    <s v="23:01:03"/>
    <s v="https://twitter.com/economistpods/status/1446611629827936259"/>
    <m/>
    <m/>
    <s v="1446611629827936259"/>
    <m/>
    <b v="0"/>
    <n v="0"/>
    <s v=""/>
    <b v="0"/>
    <s v="en"/>
    <m/>
    <s v=""/>
    <b v="0"/>
    <n v="0"/>
    <s v=""/>
    <s v="SocialFlow"/>
    <b v="0"/>
    <s v="1446611629827936259"/>
    <s v="Tweet"/>
    <n v="0"/>
    <n v="0"/>
    <m/>
    <m/>
    <m/>
    <m/>
    <m/>
    <m/>
    <m/>
    <m/>
    <n v="6"/>
    <s v="1"/>
    <s v="1"/>
    <m/>
    <m/>
    <m/>
    <m/>
    <m/>
    <m/>
    <m/>
    <m/>
    <m/>
  </r>
  <r>
    <s v="economistpods"/>
    <s v="bluenaluinc"/>
    <m/>
    <m/>
    <m/>
    <m/>
    <m/>
    <m/>
    <m/>
    <m/>
    <s v="No"/>
    <n v="345"/>
    <m/>
    <m/>
    <x v="1"/>
    <d v="2021-10-09T23:01:07.000"/>
    <s v="On “Babbage”, with @jonfasman:_x000a_- Could lab-grown and plant-based meat be the future of food?_x000a_- @GrownUnder explores the merits of vertical farming_x000a_- How cell-cultured seafood from @BlueNaluInc could replace traditional fish farming https://t.co/k2AeKt6hlz"/>
    <s v="https://www.economist.com/podcasts/2021/10/05/a-new-anthropocene-diet-the-future-of-food?utm_campaign=editorial-social&amp;utm_medium=social-organic&amp;utm_source=twitter"/>
    <s v="economist.com"/>
    <x v="0"/>
    <m/>
    <s v="https://pbs.twimg.com/profile_images/879700936704315392/WxI5eCW5_normal.jpg"/>
    <x v="150"/>
    <d v="2021-10-09T00:00:00.000"/>
    <s v="23:01:07"/>
    <s v="https://twitter.com/economistpods/status/1446974031413092360"/>
    <m/>
    <m/>
    <s v="1446974031413092360"/>
    <m/>
    <b v="0"/>
    <n v="0"/>
    <s v=""/>
    <b v="0"/>
    <s v="en"/>
    <m/>
    <s v=""/>
    <b v="0"/>
    <n v="1"/>
    <s v=""/>
    <s v="SocialFlow"/>
    <b v="0"/>
    <s v="1446974031413092360"/>
    <s v="Tweet"/>
    <n v="0"/>
    <n v="0"/>
    <m/>
    <m/>
    <m/>
    <m/>
    <m/>
    <m/>
    <m/>
    <m/>
    <n v="6"/>
    <s v="1"/>
    <s v="1"/>
    <m/>
    <m/>
    <m/>
    <m/>
    <m/>
    <m/>
    <m/>
    <m/>
    <m/>
  </r>
  <r>
    <s v="economistpods"/>
    <s v="bluenaluinc"/>
    <m/>
    <m/>
    <m/>
    <m/>
    <m/>
    <m/>
    <m/>
    <m/>
    <s v="No"/>
    <n v="346"/>
    <m/>
    <m/>
    <x v="1"/>
    <d v="2021-10-10T23:01:06.000"/>
    <s v="On “Babbage”, with @jonfasman:_x000a_- Could lab-grown and plant-based meat be the future of food?_x000a_- @GrownUnder explores the merits of vertical farming_x000a_- How cell-cultured seafood from @BlueNaluInc could replace traditional fish farming https://t.co/zTCK4Lt0HA"/>
    <s v="https://www.economist.com/podcasts/2021/10/05/a-new-anthropocene-diet-the-future-of-food?utm_campaign=editorial-social&amp;utm_medium=social-organic&amp;utm_source=twitter"/>
    <s v="economist.com"/>
    <x v="0"/>
    <m/>
    <s v="https://pbs.twimg.com/profile_images/879700936704315392/WxI5eCW5_normal.jpg"/>
    <x v="151"/>
    <d v="2021-10-10T00:00:00.000"/>
    <s v="23:01:06"/>
    <s v="https://twitter.com/economistpods/status/1447336418074931203"/>
    <m/>
    <m/>
    <s v="1447336418074931203"/>
    <m/>
    <b v="0"/>
    <n v="0"/>
    <s v=""/>
    <b v="0"/>
    <s v="en"/>
    <m/>
    <s v=""/>
    <b v="0"/>
    <n v="0"/>
    <s v=""/>
    <s v="SocialFlow"/>
    <b v="0"/>
    <s v="1447336418074931203"/>
    <s v="Tweet"/>
    <n v="0"/>
    <n v="0"/>
    <m/>
    <m/>
    <m/>
    <m/>
    <m/>
    <m/>
    <m/>
    <m/>
    <n v="6"/>
    <s v="1"/>
    <s v="1"/>
    <m/>
    <m/>
    <m/>
    <m/>
    <m/>
    <m/>
    <m/>
    <m/>
    <m/>
  </r>
  <r>
    <s v="economistpods"/>
    <s v="bluenaluinc"/>
    <m/>
    <m/>
    <m/>
    <m/>
    <m/>
    <m/>
    <m/>
    <m/>
    <s v="No"/>
    <n v="347"/>
    <m/>
    <m/>
    <x v="1"/>
    <d v="2021-10-11T23:01:05.000"/>
    <s v="On “Babbage”, with @jonfasman:_x000a_- Could lab-grown and plant-based meat be the future of food?_x000a_- @GrownUnder explores the merits of vertical farming_x000a_- How cell-cultured seafood from @BlueNaluInc could replace traditional fish farming https://t.co/3KHDGdPR60"/>
    <s v="https://www.economist.com/podcasts/2021/10/05/a-new-anthropocene-diet-the-future-of-food?utm_campaign=editorial-social&amp;utm_medium=social-organic&amp;utm_source=twitter"/>
    <s v="economist.com"/>
    <x v="0"/>
    <m/>
    <s v="https://pbs.twimg.com/profile_images/879700936704315392/WxI5eCW5_normal.jpg"/>
    <x v="152"/>
    <d v="2021-10-11T00:00:00.000"/>
    <s v="23:01:05"/>
    <s v="https://twitter.com/economistpods/status/1447698798541688836"/>
    <m/>
    <m/>
    <s v="1447698798541688836"/>
    <m/>
    <b v="0"/>
    <n v="0"/>
    <s v=""/>
    <b v="0"/>
    <s v="en"/>
    <m/>
    <s v=""/>
    <b v="0"/>
    <n v="0"/>
    <s v=""/>
    <s v="SocialFlow"/>
    <b v="0"/>
    <s v="1447698798541688836"/>
    <s v="Tweet"/>
    <n v="0"/>
    <n v="0"/>
    <m/>
    <m/>
    <m/>
    <m/>
    <m/>
    <m/>
    <m/>
    <m/>
    <n v="6"/>
    <s v="1"/>
    <s v="1"/>
    <m/>
    <m/>
    <m/>
    <m/>
    <m/>
    <m/>
    <m/>
    <m/>
    <m/>
  </r>
  <r>
    <s v="leongreyco"/>
    <s v="leongreyco"/>
    <m/>
    <m/>
    <m/>
    <m/>
    <m/>
    <m/>
    <m/>
    <m/>
    <s v="No"/>
    <n v="369"/>
    <m/>
    <m/>
    <x v="0"/>
    <d v="2021-10-12T04:00:32.000"/>
    <s v="A moral problem I never thought of.  But then, maybe we just move to cell based meat. https://t.co/Wrp0kcKsBM #cellbasedmeat"/>
    <s v="https://www.wired.co.uk/article/meat-carbon-footprint-animals"/>
    <s v="co.uk"/>
    <x v="14"/>
    <m/>
    <s v="https://pbs.twimg.com/profile_images/842734129359679488/t5zxgDx8_normal.jpg"/>
    <x v="153"/>
    <d v="2021-10-12T00:00:00.000"/>
    <s v="04:00:32"/>
    <s v="https://twitter.com/leongreyco/status/1447774158537039872"/>
    <m/>
    <m/>
    <s v="1447774158537039872"/>
    <m/>
    <b v="0"/>
    <n v="0"/>
    <s v=""/>
    <b v="0"/>
    <s v="en"/>
    <m/>
    <s v=""/>
    <b v="0"/>
    <n v="0"/>
    <s v=""/>
    <s v="Hootsuite Inc."/>
    <b v="0"/>
    <s v="1447774158537039872"/>
    <s v="Tweet"/>
    <n v="0"/>
    <n v="0"/>
    <m/>
    <m/>
    <m/>
    <m/>
    <m/>
    <m/>
    <m/>
    <m/>
    <n v="1"/>
    <s v="2"/>
    <s v="2"/>
    <n v="0"/>
    <n v="0"/>
    <n v="1"/>
    <n v="5.555555555555555"/>
    <n v="0"/>
    <n v="0"/>
    <n v="17"/>
    <n v="94.44444444444444"/>
    <n v="18"/>
  </r>
  <r>
    <s v="davehansford4"/>
    <s v="skryb"/>
    <m/>
    <m/>
    <m/>
    <m/>
    <m/>
    <m/>
    <m/>
    <m/>
    <s v="No"/>
    <n v="370"/>
    <m/>
    <m/>
    <x v="4"/>
    <d v="2021-10-12T04:53:11.000"/>
    <s v="AAT has made a complete end-to-end platform to produce meat directly from animal cells and it’s scalable. Renaissance Farm will 'democratise access to sustainable food by creating the future of animal farms' - without animals!_x000a__x000a_https://t.co/0brmao2FpM"/>
    <s v="https://www.greenqueen.com.hk/animal-alternative-technologies-renaissance-farm-cell-based-meat/?utm_content=bufferec53f&amp;utm_medium=social&amp;utm_source=twitter.com&amp;utm_campaign=buffer"/>
    <s v="com.hk"/>
    <x v="0"/>
    <m/>
    <s v="https://pbs.twimg.com/profile_images/1290760502059048960/2-vVagmU_normal.jpg"/>
    <x v="154"/>
    <d v="2021-10-12T00:00:00.000"/>
    <s v="04:53:11"/>
    <s v="https://twitter.com/davehansford4/status/1447787407684763651"/>
    <m/>
    <m/>
    <s v="1447787407684763651"/>
    <m/>
    <b v="0"/>
    <n v="0"/>
    <s v=""/>
    <b v="0"/>
    <s v="en"/>
    <m/>
    <s v=""/>
    <b v="0"/>
    <n v="2"/>
    <s v="1447774275516211203"/>
    <s v="Twitter for iPad"/>
    <b v="0"/>
    <s v="1447774275516211203"/>
    <s v="Tweet"/>
    <n v="0"/>
    <n v="0"/>
    <m/>
    <m/>
    <m/>
    <m/>
    <m/>
    <m/>
    <m/>
    <m/>
    <n v="1"/>
    <s v="3"/>
    <s v="3"/>
    <n v="2"/>
    <n v="5.405405405405405"/>
    <n v="0"/>
    <n v="0"/>
    <n v="0"/>
    <n v="0"/>
    <n v="35"/>
    <n v="94.5945945945946"/>
    <n v="37"/>
  </r>
  <r>
    <s v="sethduma"/>
    <s v="philip_ciwf"/>
    <m/>
    <m/>
    <m/>
    <m/>
    <m/>
    <m/>
    <m/>
    <m/>
    <s v="No"/>
    <n v="371"/>
    <m/>
    <m/>
    <x v="1"/>
    <d v="2021-10-12T09:32:48.000"/>
    <s v="@xxzxxzxxzzx @TheMorganics @TheScotsman @philip_ciwf ppl will argue that it’s against nature, but so is factory farming. it’s a disruption of the natural order of life in every way. i think cell-based meat has to be the future bc meaters are never gonna shift to a vegan diet en masse until it’s already too late. this could save us."/>
    <m/>
    <m/>
    <x v="0"/>
    <m/>
    <s v="https://pbs.twimg.com/profile_images/1336916721060417537/gYRNf3h-_normal.jpg"/>
    <x v="155"/>
    <d v="2021-10-12T00:00:00.000"/>
    <s v="09:32:48"/>
    <s v="https://twitter.com/sethduma/status/1447857778102607875"/>
    <m/>
    <m/>
    <s v="1447857778102607875"/>
    <s v="1447857381711482881"/>
    <b v="0"/>
    <n v="4"/>
    <s v="3001694750"/>
    <b v="0"/>
    <s v="en"/>
    <m/>
    <s v=""/>
    <b v="0"/>
    <n v="0"/>
    <s v=""/>
    <s v="Twitter for iPhone"/>
    <b v="0"/>
    <s v="1447857381711482881"/>
    <s v="Tweet"/>
    <n v="0"/>
    <n v="0"/>
    <m/>
    <m/>
    <m/>
    <m/>
    <m/>
    <m/>
    <m/>
    <m/>
    <n v="1"/>
    <s v="11"/>
    <s v="11"/>
    <m/>
    <m/>
    <m/>
    <m/>
    <m/>
    <m/>
    <m/>
    <m/>
    <m/>
  </r>
  <r>
    <s v="roslintech"/>
    <s v="roslintech"/>
    <m/>
    <m/>
    <m/>
    <m/>
    <m/>
    <m/>
    <m/>
    <m/>
    <s v="No"/>
    <n v="375"/>
    <m/>
    <m/>
    <x v="0"/>
    <d v="2021-10-06T16:21:55.000"/>
    <s v="The emerging #CultivatedMeat ecosystem in the UK can make the country a “powerhouse for alternative proteins, exporting our products and technology across the globe and reducing the UK’s reliance on imported meat.”'_x000a__x000a_We couldn't agree more! 🐖🐄_x000a__x000a_https://t.co/JnU3FZvifK"/>
    <s v="https://www.greenqueen.com.hk/amp/cell-based-meat-economy-boost/"/>
    <s v="com.hk"/>
    <x v="5"/>
    <m/>
    <s v="https://pbs.twimg.com/profile_images/1027550970333614080/c2BHjENS_normal.jpg"/>
    <x v="156"/>
    <d v="2021-10-06T00:00:00.000"/>
    <s v="16:21:55"/>
    <s v="https://twitter.com/roslintech/status/1445786407209893895"/>
    <m/>
    <m/>
    <s v="1445786407209893895"/>
    <m/>
    <b v="0"/>
    <n v="1"/>
    <s v=""/>
    <b v="0"/>
    <s v="en"/>
    <m/>
    <s v=""/>
    <b v="0"/>
    <n v="2"/>
    <s v=""/>
    <s v="Twitter Web App"/>
    <b v="0"/>
    <s v="1445786407209893895"/>
    <s v="Tweet"/>
    <n v="0"/>
    <n v="0"/>
    <m/>
    <m/>
    <m/>
    <m/>
    <m/>
    <m/>
    <m/>
    <m/>
    <n v="1"/>
    <s v="3"/>
    <s v="3"/>
    <n v="0"/>
    <n v="0"/>
    <n v="0"/>
    <n v="0"/>
    <n v="0"/>
    <n v="0"/>
    <n v="38"/>
    <n v="100"/>
    <n v="38"/>
  </r>
  <r>
    <s v="craftmeati"/>
    <s v="roslintech"/>
    <m/>
    <m/>
    <m/>
    <m/>
    <m/>
    <m/>
    <m/>
    <m/>
    <s v="No"/>
    <n v="376"/>
    <m/>
    <m/>
    <x v="4"/>
    <d v="2021-10-06T16:50:58.000"/>
    <s v="The emerging #CultivatedMeat ecosystem in the UK can make the country a “powerhouse for alternative proteins, exporting our products and technology across the globe and reducing the UK’s reliance on imported meat.”'_x000a__x000a_We couldn't agree more! 🐖🐄_x000a__x000a_https://t.co/JnU3FZvifK"/>
    <s v="https://www.greenqueen.com.hk/amp/cell-based-meat-economy-boost/"/>
    <s v="com.hk"/>
    <x v="5"/>
    <m/>
    <s v="https://pbs.twimg.com/profile_images/1207023594204741634/oNEPNuoG_normal.jpg"/>
    <x v="157"/>
    <d v="2021-10-06T00:00:00.000"/>
    <s v="16:50:58"/>
    <s v="https://twitter.com/craftmeati/status/1445793717378592773"/>
    <m/>
    <m/>
    <s v="1445793717378592773"/>
    <m/>
    <b v="0"/>
    <n v="0"/>
    <s v=""/>
    <b v="0"/>
    <s v="en"/>
    <m/>
    <s v=""/>
    <b v="0"/>
    <n v="2"/>
    <s v="1445786407209893895"/>
    <s v="Twitter Web App"/>
    <b v="0"/>
    <s v="1445786407209893895"/>
    <s v="Tweet"/>
    <n v="0"/>
    <n v="0"/>
    <m/>
    <m/>
    <m/>
    <m/>
    <m/>
    <m/>
    <m/>
    <m/>
    <n v="1"/>
    <s v="3"/>
    <s v="3"/>
    <n v="0"/>
    <n v="0"/>
    <n v="0"/>
    <n v="0"/>
    <n v="0"/>
    <n v="0"/>
    <n v="38"/>
    <n v="100"/>
    <n v="38"/>
  </r>
  <r>
    <s v="helikonc"/>
    <s v="eatgourmey"/>
    <m/>
    <m/>
    <m/>
    <m/>
    <m/>
    <m/>
    <m/>
    <m/>
    <s v="No"/>
    <n v="377"/>
    <m/>
    <m/>
    <x v="1"/>
    <d v="2021-10-06T13:38:12.000"/>
    <s v="A section in the latest @TheEconomist covers the &quot;future of food,&quot; covering cell based meat and citing @eatGOURMEY. Take a listen to the pdcast version here: https://t.co/GPI8cID4vw"/>
    <s v="https://www.economist.com/podcasts/2021/10/05/a-new-anthropocene-diet-the-future-of-food"/>
    <s v="economist.com"/>
    <x v="0"/>
    <m/>
    <s v="https://pbs.twimg.com/profile_images/1327714956779925505/ZvDQjsvd_normal.jpg"/>
    <x v="158"/>
    <d v="2021-10-06T00:00:00.000"/>
    <s v="13:38:12"/>
    <s v="https://twitter.com/helikonc/status/1445745204279922691"/>
    <m/>
    <m/>
    <s v="1445745204279922691"/>
    <m/>
    <b v="0"/>
    <n v="5"/>
    <s v=""/>
    <b v="0"/>
    <s v="en"/>
    <m/>
    <s v=""/>
    <b v="0"/>
    <n v="1"/>
    <s v=""/>
    <s v="Twitter Web App"/>
    <b v="0"/>
    <s v="1445745204279922691"/>
    <s v="Tweet"/>
    <n v="0"/>
    <n v="0"/>
    <m/>
    <m/>
    <m/>
    <m/>
    <m/>
    <m/>
    <m/>
    <m/>
    <n v="1"/>
    <s v="3"/>
    <s v="3"/>
    <n v="0"/>
    <n v="0"/>
    <n v="0"/>
    <n v="0"/>
    <n v="0"/>
    <n v="0"/>
    <n v="26"/>
    <n v="100"/>
    <n v="26"/>
  </r>
  <r>
    <s v="craftmeati"/>
    <s v="eatgourmey"/>
    <m/>
    <m/>
    <m/>
    <m/>
    <m/>
    <m/>
    <m/>
    <m/>
    <s v="No"/>
    <n v="378"/>
    <m/>
    <m/>
    <x v="2"/>
    <d v="2021-10-07T02:13:11.000"/>
    <s v="A section in the latest @TheEconomist covers the &quot;future of food,&quot; covering cell based meat and citing @eatGOURMEY. Take a listen to the pdcast version here: https://t.co/GPI8cID4vw"/>
    <s v="https://www.economist.com/podcasts/2021/10/05/a-new-anthropocene-diet-the-future-of-food"/>
    <s v="economist.com"/>
    <x v="0"/>
    <m/>
    <s v="https://pbs.twimg.com/profile_images/1207023594204741634/oNEPNuoG_normal.jpg"/>
    <x v="159"/>
    <d v="2021-10-07T00:00:00.000"/>
    <s v="02:13:11"/>
    <s v="https://twitter.com/craftmeati/status/1445935204212817920"/>
    <m/>
    <m/>
    <s v="1445935204212817920"/>
    <m/>
    <b v="0"/>
    <n v="0"/>
    <s v=""/>
    <b v="0"/>
    <s v="en"/>
    <m/>
    <s v=""/>
    <b v="0"/>
    <n v="1"/>
    <s v="1445745204279922691"/>
    <s v="Twitter for Android"/>
    <b v="0"/>
    <s v="1445745204279922691"/>
    <s v="Tweet"/>
    <n v="0"/>
    <n v="0"/>
    <m/>
    <m/>
    <m/>
    <m/>
    <m/>
    <m/>
    <m/>
    <m/>
    <n v="1"/>
    <s v="3"/>
    <s v="3"/>
    <n v="0"/>
    <n v="0"/>
    <n v="0"/>
    <n v="0"/>
    <n v="0"/>
    <n v="0"/>
    <n v="26"/>
    <n v="100"/>
    <n v="26"/>
  </r>
  <r>
    <s v="greenqueenhk"/>
    <s v="greenqueenhk"/>
    <m/>
    <m/>
    <m/>
    <m/>
    <m/>
    <m/>
    <m/>
    <m/>
    <s v="No"/>
    <n v="382"/>
    <m/>
    <m/>
    <x v="0"/>
    <d v="2021-10-05T00:57:52.000"/>
    <s v="Over 95% In Hong Kong Want To Try Cell-Based Meat and Seafood: Study  https://t.co/aPbzE9geZP"/>
    <s v="https://www.greenqueen.com.hk/hong-kong-cell-based-meat-study/"/>
    <s v="com.hk"/>
    <x v="0"/>
    <m/>
    <s v="https://pbs.twimg.com/profile_images/1219578724317724672/Pz__yQZx_normal.jpg"/>
    <x v="160"/>
    <d v="2021-10-05T00:00:00.000"/>
    <s v="00:57:52"/>
    <s v="https://twitter.com/greenqueenhk/status/1445191473838841862"/>
    <m/>
    <m/>
    <s v="1445191473838841862"/>
    <m/>
    <b v="0"/>
    <n v="1"/>
    <s v=""/>
    <b v="0"/>
    <s v="en"/>
    <m/>
    <s v=""/>
    <b v="0"/>
    <n v="0"/>
    <s v=""/>
    <s v="IFTTT"/>
    <b v="0"/>
    <s v="1445191473838841862"/>
    <s v="Tweet"/>
    <n v="0"/>
    <n v="0"/>
    <m/>
    <m/>
    <m/>
    <m/>
    <m/>
    <m/>
    <m/>
    <m/>
    <n v="1"/>
    <s v="3"/>
    <s v="3"/>
    <n v="0"/>
    <n v="0"/>
    <n v="0"/>
    <n v="0"/>
    <n v="0"/>
    <n v="0"/>
    <n v="14"/>
    <n v="100"/>
    <n v="14"/>
  </r>
  <r>
    <s v="shiokmeats"/>
    <s v="greenqueenhk"/>
    <m/>
    <m/>
    <m/>
    <m/>
    <m/>
    <m/>
    <m/>
    <m/>
    <s v="No"/>
    <n v="383"/>
    <m/>
    <m/>
    <x v="1"/>
    <d v="2021-10-07T04:05:50.000"/>
    <s v="Thanks, @GreenQueenHK , for covering this exciting study: https://t.co/QTZuzrRpTZ"/>
    <s v="https://www.greenqueen.com.hk/hong-kong-cell-based-meat-study/"/>
    <s v="com.hk"/>
    <x v="0"/>
    <m/>
    <s v="https://pbs.twimg.com/profile_images/1067102741980487680/tL2beQao_normal.jpg"/>
    <x v="161"/>
    <d v="2021-10-07T00:00:00.000"/>
    <s v="04:05:50"/>
    <s v="https://twitter.com/shiokmeats/status/1445963555417690115"/>
    <m/>
    <m/>
    <s v="1445963555417690115"/>
    <s v="1445963397820870658"/>
    <b v="0"/>
    <n v="4"/>
    <s v="1064002624205205505"/>
    <b v="0"/>
    <s v="en"/>
    <m/>
    <s v=""/>
    <b v="0"/>
    <n v="1"/>
    <s v=""/>
    <s v="Twitter for iPhone"/>
    <b v="0"/>
    <s v="1445963397820870658"/>
    <s v="Tweet"/>
    <n v="0"/>
    <n v="0"/>
    <m/>
    <m/>
    <m/>
    <m/>
    <m/>
    <m/>
    <m/>
    <m/>
    <n v="1"/>
    <s v="3"/>
    <s v="3"/>
    <n v="1"/>
    <n v="14.285714285714286"/>
    <n v="0"/>
    <n v="0"/>
    <n v="0"/>
    <n v="0"/>
    <n v="6"/>
    <n v="85.71428571428571"/>
    <n v="7"/>
  </r>
  <r>
    <s v="craftmeati"/>
    <s v="greenqueenhk"/>
    <m/>
    <m/>
    <m/>
    <m/>
    <m/>
    <m/>
    <m/>
    <m/>
    <s v="No"/>
    <n v="384"/>
    <m/>
    <m/>
    <x v="2"/>
    <d v="2021-10-07T04:26:56.000"/>
    <s v="Thanks, @GreenQueenHK , for covering this exciting study: https://t.co/QTZuzrRpTZ"/>
    <s v="https://www.greenqueen.com.hk/hong-kong-cell-based-meat-study/"/>
    <s v="com.hk"/>
    <x v="0"/>
    <m/>
    <s v="https://pbs.twimg.com/profile_images/1207023594204741634/oNEPNuoG_normal.jpg"/>
    <x v="162"/>
    <d v="2021-10-07T00:00:00.000"/>
    <s v="04:26:56"/>
    <s v="https://twitter.com/craftmeati/status/1445968864626585600"/>
    <m/>
    <m/>
    <s v="1445968864626585600"/>
    <m/>
    <b v="0"/>
    <n v="0"/>
    <s v=""/>
    <b v="0"/>
    <s v="en"/>
    <m/>
    <s v=""/>
    <b v="0"/>
    <n v="1"/>
    <s v="1445963555417690115"/>
    <s v="Twitter for Android"/>
    <b v="0"/>
    <s v="1445963555417690115"/>
    <s v="Tweet"/>
    <n v="0"/>
    <n v="0"/>
    <m/>
    <m/>
    <m/>
    <m/>
    <m/>
    <m/>
    <m/>
    <m/>
    <n v="1"/>
    <s v="3"/>
    <s v="3"/>
    <n v="1"/>
    <n v="14.285714285714286"/>
    <n v="0"/>
    <n v="0"/>
    <n v="0"/>
    <n v="0"/>
    <n v="6"/>
    <n v="85.71428571428571"/>
    <n v="7"/>
  </r>
  <r>
    <s v="shiokmeats"/>
    <s v="shiokmeats"/>
    <m/>
    <m/>
    <m/>
    <m/>
    <m/>
    <m/>
    <m/>
    <m/>
    <s v="No"/>
    <n v="385"/>
    <m/>
    <m/>
    <x v="0"/>
    <d v="2021-10-10T04:34:12.000"/>
    <s v="Hop onto the link to watch the session! _x000a__x000a_https://t.co/i0UCY6p7j0"/>
    <s v="https://www.facebook.com/PenangScienceCluster/videos/353356909554610"/>
    <s v="facebook.com"/>
    <x v="0"/>
    <m/>
    <s v="https://pbs.twimg.com/profile_images/1067102741980487680/tL2beQao_normal.jpg"/>
    <x v="163"/>
    <d v="2021-10-10T00:00:00.000"/>
    <s v="04:34:12"/>
    <s v="https://twitter.com/shiokmeats/status/1447057854255415297"/>
    <m/>
    <m/>
    <s v="1447057854255415297"/>
    <s v="1447057737913827336"/>
    <b v="0"/>
    <n v="2"/>
    <s v="1064002624205205505"/>
    <b v="0"/>
    <s v="en"/>
    <m/>
    <s v=""/>
    <b v="0"/>
    <n v="0"/>
    <s v=""/>
    <s v="Twitter for iPhone"/>
    <b v="0"/>
    <s v="1447057737913827336"/>
    <s v="Tweet"/>
    <n v="0"/>
    <n v="0"/>
    <m/>
    <m/>
    <m/>
    <m/>
    <m/>
    <m/>
    <m/>
    <m/>
    <n v="1"/>
    <s v="3"/>
    <s v="3"/>
    <n v="0"/>
    <n v="0"/>
    <n v="0"/>
    <n v="0"/>
    <n v="0"/>
    <n v="0"/>
    <n v="8"/>
    <n v="100"/>
    <n v="8"/>
  </r>
  <r>
    <s v="mtffilm"/>
    <s v="upsidefoods"/>
    <m/>
    <m/>
    <m/>
    <m/>
    <m/>
    <m/>
    <m/>
    <m/>
    <s v="No"/>
    <n v="387"/>
    <m/>
    <m/>
    <x v="1"/>
    <d v="2021-10-08T01:18:37.000"/>
    <s v="5 yrs ago we launched our filmmaking journey to chronicle the birth of the “clean” “cultured” “cell-based” “cultivated” meat movement, through the eyes of @UmaValeti and @upsidefoods 🎉 it’s been well worth it. Do you agree? #MyTwitterAnniversary https://t.co/DW4wbj83y8"/>
    <m/>
    <m/>
    <x v="6"/>
    <s v="https://pbs.twimg.com/media/FBI7gPFVQAMNirk.jpg"/>
    <s v="https://pbs.twimg.com/media/FBI7gPFVQAMNirk.jpg"/>
    <x v="164"/>
    <d v="2021-10-08T00:00:00.000"/>
    <s v="01:18:37"/>
    <s v="https://twitter.com/mtffilm/status/1446283859042062338"/>
    <m/>
    <m/>
    <s v="1446283859042062338"/>
    <m/>
    <b v="0"/>
    <n v="13"/>
    <s v=""/>
    <b v="0"/>
    <s v="en"/>
    <m/>
    <s v=""/>
    <b v="0"/>
    <n v="3"/>
    <s v=""/>
    <s v="Twitter for iPhone"/>
    <b v="0"/>
    <s v="1446283859042062338"/>
    <s v="Tweet"/>
    <n v="0"/>
    <n v="0"/>
    <m/>
    <m/>
    <m/>
    <m/>
    <m/>
    <m/>
    <m/>
    <m/>
    <n v="1"/>
    <s v="3"/>
    <s v="3"/>
    <m/>
    <m/>
    <m/>
    <m/>
    <m/>
    <m/>
    <m/>
    <m/>
    <m/>
  </r>
  <r>
    <s v="craftmeati"/>
    <s v="upsidefoods"/>
    <m/>
    <m/>
    <m/>
    <m/>
    <m/>
    <m/>
    <m/>
    <m/>
    <s v="No"/>
    <n v="388"/>
    <m/>
    <m/>
    <x v="2"/>
    <d v="2021-10-08T01:36:29.000"/>
    <s v="5 yrs ago we launched our filmmaking journey to chronicle the birth of the “clean” “cultured” “cell-based” “cultivated” meat movement, through the eyes of @UmaValeti and @upsidefoods 🎉 it’s been well worth it. Do you agree? #MyTwitterAnniversary https://t.co/DW4wbj83y8"/>
    <m/>
    <m/>
    <x v="6"/>
    <s v="https://pbs.twimg.com/media/FBI7gPFVQAMNirk.jpg"/>
    <s v="https://pbs.twimg.com/media/FBI7gPFVQAMNirk.jpg"/>
    <x v="165"/>
    <d v="2021-10-08T00:00:00.000"/>
    <s v="01:36:29"/>
    <s v="https://twitter.com/craftmeati/status/1446288357835821056"/>
    <m/>
    <m/>
    <s v="1446288357835821056"/>
    <m/>
    <b v="0"/>
    <n v="0"/>
    <s v=""/>
    <b v="0"/>
    <s v="en"/>
    <m/>
    <s v=""/>
    <b v="0"/>
    <n v="3"/>
    <s v="1446283859042062338"/>
    <s v="Twitter for Android"/>
    <b v="0"/>
    <s v="1446283859042062338"/>
    <s v="Tweet"/>
    <n v="0"/>
    <n v="0"/>
    <m/>
    <m/>
    <m/>
    <m/>
    <m/>
    <m/>
    <m/>
    <m/>
    <n v="1"/>
    <s v="3"/>
    <s v="3"/>
    <m/>
    <m/>
    <m/>
    <m/>
    <m/>
    <m/>
    <m/>
    <m/>
    <m/>
  </r>
  <r>
    <s v="fooding1st"/>
    <s v="fooding1st"/>
    <m/>
    <m/>
    <m/>
    <m/>
    <m/>
    <m/>
    <m/>
    <m/>
    <s v="No"/>
    <n v="392"/>
    <m/>
    <m/>
    <x v="0"/>
    <d v="2021-10-06T14:08:16.000"/>
    <s v="Cell-based antelope: Could cultured meat unlock Southern Africa’s #nutrition problems? _x000a__x000a_https://t.co/WUYvIQKnbz _x000a__x000a_#cellbasedmeat #agriculture #foodtech #culturedmeat #sustainability"/>
    <s v="https://www.foodingredientsfirst.com/news/cell-based-antelope-could-cultured-meat-unlock-southern-africas-nutrition-problems.html#.YV2so6A7Z2A.twitter"/>
    <s v="foodingredientsfirst.com"/>
    <x v="15"/>
    <m/>
    <s v="https://pbs.twimg.com/profile_images/710049013966487552/xyQ5j5sJ_normal.jpg"/>
    <x v="166"/>
    <d v="2021-10-06T00:00:00.000"/>
    <s v="14:08:16"/>
    <s v="https://twitter.com/fooding1st/status/1445752773035716631"/>
    <m/>
    <m/>
    <s v="1445752773035716631"/>
    <m/>
    <b v="0"/>
    <n v="0"/>
    <s v=""/>
    <b v="0"/>
    <s v="en"/>
    <m/>
    <s v=""/>
    <b v="0"/>
    <n v="0"/>
    <s v=""/>
    <s v="Twitter Web App"/>
    <b v="0"/>
    <s v="1445752773035716631"/>
    <s v="Tweet"/>
    <n v="0"/>
    <n v="0"/>
    <m/>
    <m/>
    <m/>
    <m/>
    <m/>
    <m/>
    <m/>
    <m/>
    <n v="1"/>
    <s v="3"/>
    <s v="3"/>
    <n v="1"/>
    <n v="5.882352941176471"/>
    <n v="1"/>
    <n v="5.882352941176471"/>
    <n v="0"/>
    <n v="0"/>
    <n v="15"/>
    <n v="88.23529411764706"/>
    <n v="17"/>
  </r>
  <r>
    <s v="protein_report"/>
    <s v="fooding1st"/>
    <m/>
    <m/>
    <m/>
    <m/>
    <m/>
    <m/>
    <m/>
    <m/>
    <s v="No"/>
    <n v="393"/>
    <m/>
    <m/>
    <x v="1"/>
    <d v="2021-10-08T16:01:31.000"/>
    <s v="#Foodtech #startup @CoMogale is developing solutions to future-proof #SouthAfrica's #nutrition and #foodsecurity – including creating #cellbased #meat from free-roaming antelope and cattle. Reporting in @FoodIng1st._x000a__x000a_https://t.co/71mqaqcAtJ"/>
    <s v="https://www.foodingredientsfirst.com/news/cell-based-antelope-could-cultured-meat-unlock-southern-africas-nutrition-problems.html"/>
    <s v="foodingredientsfirst.com"/>
    <x v="16"/>
    <m/>
    <s v="https://pbs.twimg.com/profile_images/1197225094000582657/OIolEPeF_normal.jpg"/>
    <x v="167"/>
    <d v="2021-10-08T00:00:00.000"/>
    <s v="16:01:31"/>
    <s v="https://twitter.com/protein_report/status/1446506047137619969"/>
    <m/>
    <m/>
    <s v="1446506047137619969"/>
    <m/>
    <b v="0"/>
    <n v="2"/>
    <s v=""/>
    <b v="0"/>
    <s v="en"/>
    <m/>
    <s v=""/>
    <b v="0"/>
    <n v="1"/>
    <s v=""/>
    <s v="Buffer"/>
    <b v="0"/>
    <s v="1446506047137619969"/>
    <s v="Tweet"/>
    <n v="0"/>
    <n v="0"/>
    <m/>
    <m/>
    <m/>
    <m/>
    <m/>
    <m/>
    <m/>
    <m/>
    <n v="1"/>
    <s v="3"/>
    <s v="3"/>
    <m/>
    <m/>
    <m/>
    <m/>
    <m/>
    <m/>
    <m/>
    <m/>
    <m/>
  </r>
  <r>
    <s v="craftmeati"/>
    <s v="fooding1st"/>
    <m/>
    <m/>
    <m/>
    <m/>
    <m/>
    <m/>
    <m/>
    <m/>
    <s v="No"/>
    <n v="394"/>
    <m/>
    <m/>
    <x v="2"/>
    <d v="2021-10-08T16:30:24.000"/>
    <s v="#Foodtech #startup @CoMogale is developing solutions to future-proof #SouthAfrica's #nutrition and #foodsecurity – including creating #cellbased #meat from free-roaming antelope and cattle. Reporting in @FoodIng1st._x000a__x000a_https://t.co/71mqaqcAtJ"/>
    <s v="https://www.foodingredientsfirst.com/news/cell-based-antelope-could-cultured-meat-unlock-southern-africas-nutrition-problems.html"/>
    <s v="foodingredientsfirst.com"/>
    <x v="16"/>
    <m/>
    <s v="https://pbs.twimg.com/profile_images/1207023594204741634/oNEPNuoG_normal.jpg"/>
    <x v="168"/>
    <d v="2021-10-08T00:00:00.000"/>
    <s v="16:30:24"/>
    <s v="https://twitter.com/craftmeati/status/1446513319632850955"/>
    <m/>
    <m/>
    <s v="1446513319632850955"/>
    <m/>
    <b v="0"/>
    <n v="0"/>
    <s v=""/>
    <b v="0"/>
    <s v="en"/>
    <m/>
    <s v=""/>
    <b v="0"/>
    <n v="1"/>
    <s v="1446506047137619969"/>
    <s v="Twitter for Android"/>
    <b v="0"/>
    <s v="1446506047137619969"/>
    <s v="Tweet"/>
    <n v="0"/>
    <n v="0"/>
    <m/>
    <m/>
    <m/>
    <m/>
    <m/>
    <m/>
    <m/>
    <m/>
    <n v="1"/>
    <s v="3"/>
    <s v="3"/>
    <m/>
    <m/>
    <m/>
    <m/>
    <m/>
    <m/>
    <m/>
    <m/>
    <m/>
  </r>
  <r>
    <s v="skryb"/>
    <s v="skryb"/>
    <m/>
    <m/>
    <m/>
    <m/>
    <m/>
    <m/>
    <m/>
    <m/>
    <s v="No"/>
    <n v="398"/>
    <m/>
    <m/>
    <x v="0"/>
    <d v="2021-10-12T04:01:00.000"/>
    <s v="AAT has made a complete end-to-end platform to produce meat directly from animal cells and it’s scalable. Renaissance Farm will 'democratise access to sustainable food by creating the future of animal farms' - without animals!_x000a__x000a_https://t.co/0brmao2FpM"/>
    <s v="https://www.greenqueen.com.hk/animal-alternative-technologies-renaissance-farm-cell-based-meat/?utm_content=bufferec53f&amp;utm_medium=social&amp;utm_source=twitter.com&amp;utm_campaign=buffer"/>
    <s v="com.hk"/>
    <x v="0"/>
    <m/>
    <s v="https://pbs.twimg.com/profile_images/1179580239334100993/fxNXEe4I_normal.jpg"/>
    <x v="169"/>
    <d v="2021-10-12T00:00:00.000"/>
    <s v="04:01:00"/>
    <s v="https://twitter.com/skryb/status/1447774275516211203"/>
    <m/>
    <m/>
    <s v="1447774275516211203"/>
    <m/>
    <b v="0"/>
    <n v="5"/>
    <s v=""/>
    <b v="0"/>
    <s v="en"/>
    <m/>
    <s v=""/>
    <b v="0"/>
    <n v="2"/>
    <s v=""/>
    <s v="Twitter Web App"/>
    <b v="0"/>
    <s v="1447774275516211203"/>
    <s v="Tweet"/>
    <n v="0"/>
    <n v="0"/>
    <m/>
    <m/>
    <m/>
    <m/>
    <m/>
    <m/>
    <m/>
    <m/>
    <n v="1"/>
    <s v="3"/>
    <s v="3"/>
    <n v="2"/>
    <n v="5.405405405405405"/>
    <n v="0"/>
    <n v="0"/>
    <n v="0"/>
    <n v="0"/>
    <n v="35"/>
    <n v="94.5945945945946"/>
    <n v="37"/>
  </r>
  <r>
    <s v="craftmeati"/>
    <s v="skryb"/>
    <m/>
    <m/>
    <m/>
    <m/>
    <m/>
    <m/>
    <m/>
    <m/>
    <s v="No"/>
    <n v="399"/>
    <m/>
    <m/>
    <x v="4"/>
    <d v="2021-10-12T11:17:53.000"/>
    <s v="AAT has made a complete end-to-end platform to produce meat directly from animal cells and it’s scalable. Renaissance Farm will 'democratise access to sustainable food by creating the future of animal farms' - without animals!_x000a__x000a_https://t.co/0brmao2FpM"/>
    <s v="https://www.greenqueen.com.hk/animal-alternative-technologies-renaissance-farm-cell-based-meat/?utm_content=bufferec53f&amp;utm_medium=social&amp;utm_source=twitter.com&amp;utm_campaign=buffer"/>
    <s v="com.hk"/>
    <x v="0"/>
    <m/>
    <s v="https://pbs.twimg.com/profile_images/1207023594204741634/oNEPNuoG_normal.jpg"/>
    <x v="170"/>
    <d v="2021-10-12T00:00:00.000"/>
    <s v="11:17:53"/>
    <s v="https://twitter.com/craftmeati/status/1447884220093894656"/>
    <m/>
    <m/>
    <s v="1447884220093894656"/>
    <m/>
    <b v="0"/>
    <n v="0"/>
    <s v=""/>
    <b v="0"/>
    <s v="en"/>
    <m/>
    <s v=""/>
    <b v="0"/>
    <n v="2"/>
    <s v="1447774275516211203"/>
    <s v="Twitter for Android"/>
    <b v="0"/>
    <s v="1447774275516211203"/>
    <s v="Tweet"/>
    <n v="0"/>
    <n v="0"/>
    <m/>
    <m/>
    <m/>
    <m/>
    <m/>
    <m/>
    <m/>
    <m/>
    <n v="1"/>
    <s v="3"/>
    <s v="3"/>
    <n v="2"/>
    <n v="5.405405405405405"/>
    <n v="0"/>
    <n v="0"/>
    <n v="0"/>
    <n v="0"/>
    <n v="35"/>
    <n v="94.5945945945946"/>
    <n v="37"/>
  </r>
  <r>
    <s v="craftmeati"/>
    <s v="cellagritech"/>
    <m/>
    <m/>
    <m/>
    <m/>
    <m/>
    <m/>
    <m/>
    <m/>
    <s v="No"/>
    <n v="400"/>
    <m/>
    <m/>
    <x v="4"/>
    <d v="2021-10-07T20:18:24.000"/>
    <s v="To end September, #cellbasedmeat company New Age Meats announced the startup raised a massive $25 million in Series A funding to produce cell-based pork hybrid products. _x000a__x000a_#cellag #futureoffood_x000a__x000a_https://t.co/DfMlRVhYzU"/>
    <s v="https://techcrunch.com/2021/09/27/new-age-meats-bites-into-25m-for-cultured-meat-product-line-development/?utm_content=buffer97d50&amp;utm_medium=social&amp;utm_source=twitter.com&amp;utm_campaign=buffer"/>
    <s v="techcrunch.com"/>
    <x v="17"/>
    <m/>
    <s v="https://pbs.twimg.com/profile_images/1207023594204741634/oNEPNuoG_normal.jpg"/>
    <x v="171"/>
    <d v="2021-10-07T00:00:00.000"/>
    <s v="20:18:24"/>
    <s v="https://twitter.com/craftmeati/status/1446208307589484555"/>
    <m/>
    <m/>
    <s v="1446208307589484555"/>
    <m/>
    <b v="0"/>
    <n v="0"/>
    <s v=""/>
    <b v="0"/>
    <s v="en"/>
    <m/>
    <s v=""/>
    <b v="0"/>
    <n v="1"/>
    <s v="1446166054363975690"/>
    <s v="Twitter Web App"/>
    <b v="0"/>
    <s v="1446166054363975690"/>
    <s v="Tweet"/>
    <n v="0"/>
    <n v="0"/>
    <m/>
    <m/>
    <m/>
    <m/>
    <m/>
    <m/>
    <m/>
    <m/>
    <n v="1"/>
    <s v="3"/>
    <s v="10"/>
    <n v="0"/>
    <n v="0"/>
    <n v="0"/>
    <n v="0"/>
    <n v="0"/>
    <n v="0"/>
    <n v="29"/>
    <n v="100"/>
    <n v="29"/>
  </r>
  <r>
    <s v="ryanbethencourt"/>
    <s v="ryanbethencourt"/>
    <m/>
    <m/>
    <m/>
    <m/>
    <m/>
    <m/>
    <m/>
    <m/>
    <s v="No"/>
    <n v="401"/>
    <m/>
    <m/>
    <x v="0"/>
    <d v="2021-10-12T11:46:05.000"/>
    <s v="The future of meat 🥩 is cell based! https://t.co/twxCMAExiU"/>
    <s v="https://financialpost.com/commodities/agriculture/126-hamburger-a-bit-steep-vancouver-venture-capitalist-joins-race-to-bring-lab-meats-to-your-table/wcm/605223e1-8ec3-4479-9950-8da527e4da0e/amp/"/>
    <s v="financialpost.com"/>
    <x v="0"/>
    <m/>
    <s v="https://pbs.twimg.com/profile_images/1447420542437531648/PmDVadZY_normal.jpg"/>
    <x v="172"/>
    <d v="2021-10-12T00:00:00.000"/>
    <s v="11:46:05"/>
    <s v="https://twitter.com/ryanbethencourt/status/1447891316399030276"/>
    <m/>
    <m/>
    <s v="1447891316399030276"/>
    <m/>
    <b v="0"/>
    <n v="1"/>
    <s v=""/>
    <b v="0"/>
    <s v="en"/>
    <m/>
    <s v=""/>
    <b v="0"/>
    <n v="0"/>
    <s v=""/>
    <s v="Twitter for iPhone"/>
    <b v="0"/>
    <s v="1447891316399030276"/>
    <s v="Tweet"/>
    <n v="0"/>
    <n v="0"/>
    <m/>
    <m/>
    <m/>
    <m/>
    <m/>
    <m/>
    <m/>
    <m/>
    <n v="1"/>
    <s v="2"/>
    <s v="2"/>
    <n v="0"/>
    <n v="0"/>
    <n v="0"/>
    <n v="0"/>
    <n v="0"/>
    <n v="0"/>
    <n v="7"/>
    <n v="100"/>
    <n v="7"/>
  </r>
  <r>
    <s v="stevecjjones"/>
    <s v="hoxtonfarms"/>
    <m/>
    <m/>
    <m/>
    <m/>
    <m/>
    <m/>
    <m/>
    <m/>
    <s v="No"/>
    <n v="402"/>
    <m/>
    <m/>
    <x v="2"/>
    <d v="2021-10-12T14:32:01.000"/>
    <s v="What will the #futureoffood look like in the UK? Journalist Emiko Terazono visits two cell-based meat players in the UK, @hoxtonfarms and #HigherSteaks to learn how the companies are working on the future of food. _x000a__x000a_#cellag #cellbasedmeat_x000a__x000a_https://t.co/sgz9EyQkJT"/>
    <s v="https://channels.ft.com/en/foodrevolution/lab-grown-meat-the-future-of-food/?utm_content=buffer9816a&amp;utm_medium=social&amp;utm_source=twitter.com&amp;utm_campaign=buffer"/>
    <s v="ft.com"/>
    <x v="18"/>
    <m/>
    <s v="https://pbs.twimg.com/profile_images/1432380149824212994/ozjnG5o3_normal.jpg"/>
    <x v="173"/>
    <d v="2021-10-12T00:00:00.000"/>
    <s v="14:32:01"/>
    <s v="https://twitter.com/stevecjjones/status/1447933077775323137"/>
    <m/>
    <m/>
    <s v="1447933077775323137"/>
    <m/>
    <b v="0"/>
    <n v="0"/>
    <s v=""/>
    <b v="0"/>
    <s v="en"/>
    <m/>
    <s v=""/>
    <b v="0"/>
    <n v="4"/>
    <s v="1447932672630734849"/>
    <s v="Twitter Web App"/>
    <b v="0"/>
    <s v="1447932672630734849"/>
    <s v="Tweet"/>
    <n v="0"/>
    <n v="0"/>
    <m/>
    <m/>
    <m/>
    <m/>
    <m/>
    <m/>
    <m/>
    <m/>
    <n v="1"/>
    <s v="10"/>
    <s v="10"/>
    <n v="1"/>
    <n v="2.6315789473684212"/>
    <n v="0"/>
    <n v="0"/>
    <n v="0"/>
    <n v="0"/>
    <n v="37"/>
    <n v="97.36842105263158"/>
    <n v="38"/>
  </r>
  <r>
    <s v="midoriecosystem"/>
    <s v="hoxtonfarms"/>
    <m/>
    <m/>
    <m/>
    <m/>
    <m/>
    <m/>
    <m/>
    <m/>
    <s v="No"/>
    <n v="404"/>
    <m/>
    <m/>
    <x v="2"/>
    <d v="2021-10-12T14:35:50.000"/>
    <s v="What will the #futureoffood look like in the UK? Journalist Emiko Terazono visits two cell-based meat players in the UK, @hoxtonfarms and #HigherSteaks to learn how the companies are working on the future of food. _x000a__x000a_#cellag #cellbasedmeat_x000a__x000a_https://t.co/sgz9EyQkJT"/>
    <s v="https://channels.ft.com/en/foodrevolution/lab-grown-meat-the-future-of-food/?utm_content=buffer9816a&amp;utm_medium=social&amp;utm_source=twitter.com&amp;utm_campaign=buffer"/>
    <s v="ft.com"/>
    <x v="18"/>
    <m/>
    <s v="https://pbs.twimg.com/profile_images/1292852962075660289/2eauCFBV_normal.jpg"/>
    <x v="174"/>
    <d v="2021-10-12T00:00:00.000"/>
    <s v="14:35:50"/>
    <s v="https://twitter.com/midoriecosystem/status/1447934038086406144"/>
    <m/>
    <m/>
    <s v="1447934038086406144"/>
    <m/>
    <b v="0"/>
    <n v="0"/>
    <s v=""/>
    <b v="0"/>
    <s v="en"/>
    <m/>
    <s v=""/>
    <b v="0"/>
    <n v="4"/>
    <s v="1447932672630734849"/>
    <s v="TweetDeck"/>
    <b v="0"/>
    <s v="1447932672630734849"/>
    <s v="Tweet"/>
    <n v="0"/>
    <n v="0"/>
    <m/>
    <m/>
    <m/>
    <m/>
    <m/>
    <m/>
    <m/>
    <m/>
    <n v="1"/>
    <s v="10"/>
    <s v="10"/>
    <m/>
    <m/>
    <m/>
    <m/>
    <m/>
    <m/>
    <m/>
    <m/>
    <m/>
  </r>
  <r>
    <s v="rexjeanna"/>
    <s v="hoxtonfarms"/>
    <m/>
    <m/>
    <m/>
    <m/>
    <m/>
    <m/>
    <m/>
    <m/>
    <s v="No"/>
    <n v="406"/>
    <m/>
    <m/>
    <x v="2"/>
    <d v="2021-10-12T14:42:12.000"/>
    <s v="What will the #futureoffood look like in the UK? Journalist Emiko Terazono visits two cell-based meat players in the UK, @hoxtonfarms and #HigherSteaks to learn how the companies are working on the future of food. _x000a__x000a_#cellag #cellbasedmeat_x000a__x000a_https://t.co/sgz9EyQkJT"/>
    <s v="https://channels.ft.com/en/foodrevolution/lab-grown-meat-the-future-of-food/?utm_content=buffer9816a&amp;utm_medium=social&amp;utm_source=twitter.com&amp;utm_campaign=buffer"/>
    <s v="ft.com"/>
    <x v="18"/>
    <m/>
    <s v="https://pbs.twimg.com/profile_images/1107382866168725504/bPI0qCwA_normal.jpg"/>
    <x v="175"/>
    <d v="2021-10-12T00:00:00.000"/>
    <s v="14:42:12"/>
    <s v="https://twitter.com/rexjeanna/status/1447935638871986182"/>
    <m/>
    <m/>
    <s v="1447935638871986182"/>
    <m/>
    <b v="0"/>
    <n v="0"/>
    <s v=""/>
    <b v="0"/>
    <s v="en"/>
    <m/>
    <s v=""/>
    <b v="0"/>
    <n v="4"/>
    <s v="1447932672630734849"/>
    <s v="Twitter Web App"/>
    <b v="0"/>
    <s v="1447932672630734849"/>
    <s v="Tweet"/>
    <n v="0"/>
    <n v="0"/>
    <m/>
    <m/>
    <m/>
    <m/>
    <m/>
    <m/>
    <m/>
    <m/>
    <n v="1"/>
    <s v="10"/>
    <s v="10"/>
    <m/>
    <m/>
    <m/>
    <m/>
    <m/>
    <m/>
    <m/>
    <m/>
    <m/>
  </r>
  <r>
    <s v="kzelickson"/>
    <s v="mosa_meat"/>
    <m/>
    <m/>
    <m/>
    <m/>
    <m/>
    <m/>
    <m/>
    <m/>
    <s v="No"/>
    <n v="408"/>
    <m/>
    <m/>
    <x v="1"/>
    <d v="2021-10-12T15:45:07.000"/>
    <s v=".@justegg, @NewAgeMeats, @mosa_meat—these companies are at the forefront of the #cellbasedmeat industry (also known as cultivated or cultured meat). Take a look at my latest article for 3 reasons why you should follow this food #innovation. https://t.co/Ziw01rBNOQ"/>
    <s v="https://www.linkedin.com/pulse/why-you-should-keep-your-eye-cell-based-meat-kory-zelickson-/"/>
    <s v="linkedin.com"/>
    <x v="19"/>
    <m/>
    <s v="https://pbs.twimg.com/profile_images/1364041291755974661/67okjKhI_normal.jpg"/>
    <x v="176"/>
    <d v="2021-10-12T00:00:00.000"/>
    <s v="15:45:07"/>
    <s v="https://twitter.com/kzelickson/status/1447951472457666562"/>
    <m/>
    <m/>
    <s v="1447951472457666562"/>
    <m/>
    <b v="0"/>
    <n v="2"/>
    <s v=""/>
    <b v="0"/>
    <s v="en"/>
    <m/>
    <s v=""/>
    <b v="0"/>
    <n v="0"/>
    <s v=""/>
    <s v="Agorapulse app"/>
    <b v="0"/>
    <s v="1447951472457666562"/>
    <s v="Tweet"/>
    <n v="0"/>
    <n v="0"/>
    <m/>
    <m/>
    <m/>
    <m/>
    <m/>
    <m/>
    <m/>
    <m/>
    <n v="1"/>
    <s v="6"/>
    <s v="6"/>
    <m/>
    <m/>
    <m/>
    <m/>
    <m/>
    <m/>
    <m/>
    <m/>
    <m/>
  </r>
  <r>
    <s v="charlie_runners"/>
    <s v="goodfoodinst"/>
    <m/>
    <m/>
    <m/>
    <m/>
    <m/>
    <m/>
    <m/>
    <m/>
    <s v="No"/>
    <n v="411"/>
    <m/>
    <m/>
    <x v="1"/>
    <d v="2021-10-12T17:38:40.000"/>
    <s v="This is a great article to paint the landscape of what's happening on the ground in India. There are examples of the revolution in cell-based meat around the world, with over 55 startups in 19 countries exploring this production methodology (upcoming report from @GoodFoodInst)"/>
    <m/>
    <m/>
    <x v="0"/>
    <m/>
    <s v="https://pbs.twimg.com/profile_images/1349953202402197506/8cqA-Ycg_normal.jpg"/>
    <x v="177"/>
    <d v="2021-10-12T00:00:00.000"/>
    <s v="17:38:40"/>
    <s v="https://twitter.com/charlie_runners/status/1447980049055961093"/>
    <m/>
    <m/>
    <s v="1447980049055961093"/>
    <s v="1447980046317015041"/>
    <b v="0"/>
    <n v="2"/>
    <s v="1349886710646099968"/>
    <b v="0"/>
    <s v="en"/>
    <m/>
    <s v=""/>
    <b v="0"/>
    <n v="0"/>
    <s v=""/>
    <s v="Twitter Web App"/>
    <b v="0"/>
    <s v="1447980046317015041"/>
    <s v="Tweet"/>
    <n v="0"/>
    <n v="0"/>
    <m/>
    <m/>
    <m/>
    <m/>
    <m/>
    <m/>
    <m/>
    <m/>
    <n v="1"/>
    <s v="5"/>
    <s v="5"/>
    <n v="1"/>
    <n v="2.2222222222222223"/>
    <n v="0"/>
    <n v="0"/>
    <n v="0"/>
    <n v="0"/>
    <n v="44"/>
    <n v="97.77777777777777"/>
    <n v="45"/>
  </r>
  <r>
    <s v="charlie_runners"/>
    <s v="charlie_runners"/>
    <m/>
    <m/>
    <m/>
    <m/>
    <m/>
    <m/>
    <m/>
    <m/>
    <s v="No"/>
    <n v="412"/>
    <m/>
    <m/>
    <x v="0"/>
    <d v="2021-10-11T23:30:54.000"/>
    <s v="Great data points coming from the Credence Institute in SA on consumer adoption and awareness in cell-based and plant-based meat. My headline takeaways:_x000a__x000a_-Plant Based - 67% likely to try, 59% likely to purchase_x000a_-Cell-Based - 60% likely to try, 53% &quot; &quot; _x000a__x000a_https://t.co/b5dOq2akor"/>
    <s v="https://www.frontiersin.org/articles/10.3389/fsufs.2021.744199/full?utm_source=S-TWT&amp;utm_medium=SNET&amp;utm_campaign=ECO_FSUSTAIN_XXXXXXXX_auto-dlvrit"/>
    <s v="frontiersin.org"/>
    <x v="0"/>
    <m/>
    <s v="https://pbs.twimg.com/profile_images/1349953202402197506/8cqA-Ycg_normal.jpg"/>
    <x v="178"/>
    <d v="2021-10-11T00:00:00.000"/>
    <s v="23:30:54"/>
    <s v="https://twitter.com/charlie_runners/status/1447706302373777408"/>
    <m/>
    <m/>
    <s v="1447706302373777408"/>
    <m/>
    <b v="0"/>
    <n v="0"/>
    <s v=""/>
    <b v="0"/>
    <s v="en"/>
    <m/>
    <s v=""/>
    <b v="0"/>
    <n v="0"/>
    <s v=""/>
    <s v="Twitter Web App"/>
    <b v="0"/>
    <s v="1447706302373777408"/>
    <s v="Tweet"/>
    <n v="0"/>
    <n v="0"/>
    <m/>
    <m/>
    <m/>
    <m/>
    <m/>
    <m/>
    <m/>
    <m/>
    <n v="1"/>
    <s v="5"/>
    <s v="5"/>
    <n v="2"/>
    <n v="4.761904761904762"/>
    <n v="0"/>
    <n v="0"/>
    <n v="0"/>
    <n v="0"/>
    <n v="40"/>
    <n v="95.23809523809524"/>
    <n v="42"/>
  </r>
  <r>
    <s v="pietersemarc"/>
    <s v="efwhitton"/>
    <m/>
    <m/>
    <m/>
    <m/>
    <m/>
    <m/>
    <m/>
    <m/>
    <s v="No"/>
    <n v="413"/>
    <m/>
    <m/>
    <x v="3"/>
    <d v="2021-10-12T17:39:16.000"/>
    <s v="@efwhitton It is quite different from cell-based meat._x000a__x000a_There are no ‘tissue cells’ involved _x000a__x000a_Casein is a protein but an essential part of cheese (all cheeses)_x000a__x000a_Casein without animals can be made with fermentation with microbes and yeast strains_x000a__x000a_If you can do that efficient you have gold"/>
    <m/>
    <m/>
    <x v="0"/>
    <m/>
    <s v="https://pbs.twimg.com/profile_images/1196826670185033733/ofstaVMj_normal.jpg"/>
    <x v="179"/>
    <d v="2021-10-12T00:00:00.000"/>
    <s v="17:39:16"/>
    <s v="https://twitter.com/pietersemarc/status/1447980200768294923"/>
    <m/>
    <m/>
    <s v="1447980200768294923"/>
    <s v="1447976159753371649"/>
    <b v="0"/>
    <n v="4"/>
    <s v="454629750"/>
    <b v="0"/>
    <s v="en"/>
    <m/>
    <s v=""/>
    <b v="0"/>
    <n v="0"/>
    <s v=""/>
    <s v="Twitter for iPad"/>
    <b v="0"/>
    <s v="1447976159753371649"/>
    <s v="Tweet"/>
    <n v="0"/>
    <n v="0"/>
    <m/>
    <m/>
    <m/>
    <m/>
    <m/>
    <m/>
    <m/>
    <m/>
    <n v="1"/>
    <s v="17"/>
    <s v="17"/>
    <n v="2"/>
    <n v="4.081632653061225"/>
    <n v="0"/>
    <n v="0"/>
    <n v="0"/>
    <n v="0"/>
    <n v="47"/>
    <n v="95.91836734693878"/>
    <n v="49"/>
  </r>
  <r>
    <s v="meatech3d"/>
    <s v="aplusk"/>
    <m/>
    <m/>
    <m/>
    <m/>
    <m/>
    <m/>
    <m/>
    <m/>
    <s v="No"/>
    <n v="414"/>
    <m/>
    <m/>
    <x v="2"/>
    <d v="2021-10-11T09:00:27.000"/>
    <s v="If 3D printed meat made without animals takes off, you might have @aplusk to thank. #AshtonKutcher #slaughterfree @MeaTech3D _x000a__x000a_https://t.co/D4Hkw5GiJI"/>
    <s v="https://vegnews.com/2021/10/ashton-kutcher-cell-based-meat"/>
    <s v="vegnews.com"/>
    <x v="11"/>
    <m/>
    <s v="https://pbs.twimg.com/profile_images/1371467367474200579/0gVpA3fB_normal.jpg"/>
    <x v="180"/>
    <d v="2021-10-11T00:00:00.000"/>
    <s v="09:00:27"/>
    <s v="https://twitter.com/meatech3d/status/1447487246731517953"/>
    <m/>
    <m/>
    <s v="1447487246731517953"/>
    <m/>
    <b v="0"/>
    <n v="0"/>
    <s v=""/>
    <b v="0"/>
    <s v="en"/>
    <m/>
    <s v=""/>
    <b v="0"/>
    <n v="6"/>
    <s v="1446886176443539461"/>
    <s v="Twitter Web App"/>
    <b v="0"/>
    <s v="1446886176443539461"/>
    <s v="Tweet"/>
    <n v="0"/>
    <n v="0"/>
    <m/>
    <m/>
    <m/>
    <m/>
    <m/>
    <m/>
    <m/>
    <m/>
    <n v="1"/>
    <s v="4"/>
    <s v="4"/>
    <m/>
    <m/>
    <m/>
    <m/>
    <m/>
    <m/>
    <m/>
    <m/>
    <m/>
  </r>
  <r>
    <s v="vegnews"/>
    <s v="meatech3d"/>
    <m/>
    <m/>
    <m/>
    <m/>
    <m/>
    <m/>
    <m/>
    <m/>
    <s v="Yes"/>
    <n v="416"/>
    <m/>
    <m/>
    <x v="1"/>
    <d v="2021-10-09T17:12:00.000"/>
    <s v="If 3D printed meat made without animals takes off, you might have @aplusk to thank. #AshtonKutcher #slaughterfree @MeaTech3D _x000a__x000a_https://t.co/D4Hkw5GiJI"/>
    <s v="https://vegnews.com/2021/10/ashton-kutcher-cell-based-meat"/>
    <s v="vegnews.com"/>
    <x v="11"/>
    <m/>
    <s v="https://pbs.twimg.com/profile_images/1308856211597475840/X7PGunVx_normal.jpg"/>
    <x v="181"/>
    <d v="2021-10-09T00:00:00.000"/>
    <s v="17:12:00"/>
    <s v="https://twitter.com/vegnews/status/1446886176443539461"/>
    <m/>
    <m/>
    <s v="1446886176443539461"/>
    <m/>
    <b v="0"/>
    <n v="37"/>
    <s v=""/>
    <b v="0"/>
    <s v="en"/>
    <m/>
    <s v=""/>
    <b v="0"/>
    <n v="6"/>
    <s v=""/>
    <s v="Sprout Social"/>
    <b v="0"/>
    <s v="1446886176443539461"/>
    <s v="Tweet"/>
    <n v="0"/>
    <n v="0"/>
    <m/>
    <m/>
    <m/>
    <m/>
    <m/>
    <m/>
    <m/>
    <m/>
    <n v="2"/>
    <s v="4"/>
    <s v="4"/>
    <m/>
    <m/>
    <m/>
    <m/>
    <m/>
    <m/>
    <m/>
    <m/>
    <m/>
  </r>
  <r>
    <s v="vegnews"/>
    <s v="meatech3d"/>
    <m/>
    <m/>
    <m/>
    <m/>
    <m/>
    <m/>
    <m/>
    <m/>
    <s v="Yes"/>
    <n v="417"/>
    <m/>
    <m/>
    <x v="1"/>
    <d v="2021-10-11T20:34:00.000"/>
    <s v="Actor @aplusk is a fan (and an investor), but do you think 3D bioprinted meat is part of the solution? #YesorNo @MeaTech3D _x000a__x000a_https://t.co/D4Hkw5GiJI"/>
    <s v="https://vegnews.com/2021/10/ashton-kutcher-cell-based-meat"/>
    <s v="vegnews.com"/>
    <x v="20"/>
    <m/>
    <s v="https://pbs.twimg.com/profile_images/1308856211597475840/X7PGunVx_normal.jpg"/>
    <x v="182"/>
    <d v="2021-10-11T00:00:00.000"/>
    <s v="20:34:00"/>
    <s v="https://twitter.com/vegnews/status/1447661786287771649"/>
    <m/>
    <m/>
    <s v="1447661786287771649"/>
    <m/>
    <b v="0"/>
    <n v="13"/>
    <s v=""/>
    <b v="0"/>
    <s v="en"/>
    <m/>
    <s v=""/>
    <b v="0"/>
    <n v="0"/>
    <s v=""/>
    <s v="Sprout Social"/>
    <b v="0"/>
    <s v="1447661786287771649"/>
    <s v="Tweet"/>
    <n v="0"/>
    <n v="0"/>
    <m/>
    <m/>
    <m/>
    <m/>
    <m/>
    <m/>
    <m/>
    <m/>
    <n v="2"/>
    <s v="4"/>
    <s v="4"/>
    <m/>
    <m/>
    <m/>
    <m/>
    <m/>
    <m/>
    <m/>
    <m/>
    <m/>
  </r>
  <r>
    <s v="sophiajennifer5"/>
    <s v="meatech3d"/>
    <m/>
    <m/>
    <m/>
    <m/>
    <m/>
    <m/>
    <m/>
    <m/>
    <s v="No"/>
    <n v="418"/>
    <m/>
    <m/>
    <x v="2"/>
    <d v="2021-10-12T19:51:02.000"/>
    <s v="If 3D printed meat made without animals takes off, you might have @aplusk to thank. #AshtonKutcher #slaughterfree @MeaTech3D _x000a__x000a_https://t.co/D4Hkw5GiJI"/>
    <s v="https://vegnews.com/2021/10/ashton-kutcher-cell-based-meat"/>
    <s v="vegnews.com"/>
    <x v="11"/>
    <m/>
    <s v="https://pbs.twimg.com/profile_images/1446755109124382720/ixL_-iTZ_normal.jpg"/>
    <x v="183"/>
    <d v="2021-10-12T00:00:00.000"/>
    <s v="19:51:02"/>
    <s v="https://twitter.com/sophiajennifer5/status/1448013361577345034"/>
    <m/>
    <m/>
    <s v="1448013361577345034"/>
    <m/>
    <b v="0"/>
    <n v="0"/>
    <s v=""/>
    <b v="0"/>
    <s v="en"/>
    <m/>
    <s v=""/>
    <b v="0"/>
    <n v="6"/>
    <s v="1446886176443539461"/>
    <s v="Twitter for Android"/>
    <b v="0"/>
    <s v="1446886176443539461"/>
    <s v="Tweet"/>
    <n v="0"/>
    <n v="0"/>
    <m/>
    <m/>
    <m/>
    <m/>
    <m/>
    <m/>
    <m/>
    <m/>
    <n v="1"/>
    <s v="4"/>
    <s v="4"/>
    <m/>
    <m/>
    <m/>
    <m/>
    <m/>
    <m/>
    <m/>
    <m/>
    <m/>
  </r>
  <r>
    <s v="cellagritech"/>
    <s v="cellagritech"/>
    <m/>
    <m/>
    <m/>
    <m/>
    <m/>
    <m/>
    <m/>
    <m/>
    <s v="No"/>
    <n v="423"/>
    <m/>
    <m/>
    <x v="0"/>
    <d v="2021-10-07T17:30:30.000"/>
    <s v="To end September, #cellbasedmeat company New Age Meats announced the startup raised a massive $25 million in Series A funding to produce cell-based pork hybrid products. _x000a__x000a_#cellag #futureoffood_x000a__x000a_https://t.co/DfMlRVhYzU"/>
    <s v="https://techcrunch.com/2021/09/27/new-age-meats-bites-into-25m-for-cultured-meat-product-line-development/?utm_content=buffer97d50&amp;utm_medium=social&amp;utm_source=twitter.com&amp;utm_campaign=buffer"/>
    <s v="techcrunch.com"/>
    <x v="17"/>
    <m/>
    <s v="https://pbs.twimg.com/profile_images/1032774523739762694/6PxyeNw5_normal.jpg"/>
    <x v="184"/>
    <d v="2021-10-07T00:00:00.000"/>
    <s v="17:30:30"/>
    <s v="https://twitter.com/cellagritech/status/1446166054363975690"/>
    <m/>
    <m/>
    <s v="1446166054363975690"/>
    <m/>
    <b v="0"/>
    <n v="2"/>
    <s v=""/>
    <b v="0"/>
    <s v="en"/>
    <m/>
    <s v=""/>
    <b v="0"/>
    <n v="1"/>
    <s v=""/>
    <s v="Buffer"/>
    <b v="0"/>
    <s v="1446166054363975690"/>
    <s v="Tweet"/>
    <n v="0"/>
    <n v="0"/>
    <m/>
    <m/>
    <m/>
    <m/>
    <m/>
    <m/>
    <m/>
    <m/>
    <n v="1"/>
    <s v="10"/>
    <s v="10"/>
    <n v="0"/>
    <n v="0"/>
    <n v="0"/>
    <n v="0"/>
    <n v="0"/>
    <n v="0"/>
    <n v="29"/>
    <n v="100"/>
    <n v="29"/>
  </r>
  <r>
    <s v="cellagritech"/>
    <s v="hoxtonfarms"/>
    <m/>
    <m/>
    <m/>
    <m/>
    <m/>
    <m/>
    <m/>
    <m/>
    <s v="Yes"/>
    <n v="424"/>
    <m/>
    <m/>
    <x v="1"/>
    <d v="2021-10-12T14:30:25.000"/>
    <s v="What will the #futureoffood look like in the UK? Journalist Emiko Terazono visits two cell-based meat players in the UK, @hoxtonfarms and #HigherSteaks to learn how the companies are working on the future of food. _x000a__x000a_#cellag #cellbasedmeat_x000a__x000a_https://t.co/sgz9EyQkJT"/>
    <s v="https://channels.ft.com/en/foodrevolution/lab-grown-meat-the-future-of-food/?utm_content=buffer9816a&amp;utm_medium=social&amp;utm_source=twitter.com&amp;utm_campaign=buffer"/>
    <s v="ft.com"/>
    <x v="18"/>
    <m/>
    <s v="https://pbs.twimg.com/profile_images/1032774523739762694/6PxyeNw5_normal.jpg"/>
    <x v="185"/>
    <d v="2021-10-12T00:00:00.000"/>
    <s v="14:30:25"/>
    <s v="https://twitter.com/cellagritech/status/1447932672630734849"/>
    <m/>
    <m/>
    <s v="1447932672630734849"/>
    <m/>
    <b v="0"/>
    <n v="5"/>
    <s v=""/>
    <b v="0"/>
    <s v="en"/>
    <m/>
    <s v=""/>
    <b v="0"/>
    <n v="4"/>
    <s v=""/>
    <s v="Buffer"/>
    <b v="0"/>
    <s v="1447932672630734849"/>
    <s v="Tweet"/>
    <n v="0"/>
    <n v="0"/>
    <m/>
    <m/>
    <m/>
    <m/>
    <m/>
    <m/>
    <m/>
    <m/>
    <n v="1"/>
    <s v="10"/>
    <s v="10"/>
    <n v="1"/>
    <n v="2.6315789473684212"/>
    <n v="0"/>
    <n v="0"/>
    <n v="0"/>
    <n v="0"/>
    <n v="37"/>
    <n v="97.36842105263158"/>
    <n v="38"/>
  </r>
  <r>
    <s v="hoxtonfarms"/>
    <s v="cellagritech"/>
    <m/>
    <m/>
    <m/>
    <m/>
    <m/>
    <m/>
    <m/>
    <m/>
    <s v="Yes"/>
    <n v="425"/>
    <m/>
    <m/>
    <x v="4"/>
    <d v="2021-10-12T21:40:01.000"/>
    <s v="What will the #futureoffood look like in the UK? Journalist Emiko Terazono visits two cell-based meat players in the UK, @hoxtonfarms and #HigherSteaks to learn how the companies are working on the future of food. _x000a__x000a_#cellag #cellbasedmeat_x000a__x000a_https://t.co/sgz9EyQkJT"/>
    <s v="https://channels.ft.com/en/foodrevolution/lab-grown-meat-the-future-of-food/?utm_content=buffer9816a&amp;utm_medium=social&amp;utm_source=twitter.com&amp;utm_campaign=buffer"/>
    <s v="ft.com"/>
    <x v="18"/>
    <m/>
    <s v="https://pbs.twimg.com/profile_images/1334190529727303687/lyl9_7E6_normal.jpg"/>
    <x v="186"/>
    <d v="2021-10-12T00:00:00.000"/>
    <s v="21:40:01"/>
    <s v="https://twitter.com/hoxtonfarms/status/1448040786025717764"/>
    <m/>
    <m/>
    <s v="1448040786025717764"/>
    <m/>
    <b v="0"/>
    <n v="0"/>
    <s v=""/>
    <b v="0"/>
    <s v="en"/>
    <m/>
    <s v=""/>
    <b v="0"/>
    <n v="4"/>
    <s v="1447932672630734849"/>
    <s v="Twitter for Android"/>
    <b v="0"/>
    <s v="1447932672630734849"/>
    <s v="Tweet"/>
    <n v="0"/>
    <n v="0"/>
    <m/>
    <m/>
    <m/>
    <m/>
    <m/>
    <m/>
    <m/>
    <m/>
    <n v="1"/>
    <s v="10"/>
    <s v="10"/>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07">
    <i>
      <x v="1"/>
    </i>
    <i r="1">
      <x v="9"/>
    </i>
    <i r="2">
      <x v="272"/>
    </i>
    <i r="3">
      <x v="14"/>
    </i>
    <i r="2">
      <x v="273"/>
    </i>
    <i r="3">
      <x v="21"/>
    </i>
    <i r="1">
      <x v="10"/>
    </i>
    <i r="2">
      <x v="275"/>
    </i>
    <i r="3">
      <x v="16"/>
    </i>
    <i r="3">
      <x v="17"/>
    </i>
    <i r="2">
      <x v="278"/>
    </i>
    <i r="3">
      <x v="14"/>
    </i>
    <i r="3">
      <x v="16"/>
    </i>
    <i r="3">
      <x v="17"/>
    </i>
    <i r="3">
      <x v="19"/>
    </i>
    <i r="3">
      <x v="20"/>
    </i>
    <i r="3">
      <x v="24"/>
    </i>
    <i r="2">
      <x v="279"/>
    </i>
    <i r="3">
      <x v="1"/>
    </i>
    <i r="3">
      <x v="9"/>
    </i>
    <i r="3">
      <x v="16"/>
    </i>
    <i r="3">
      <x v="18"/>
    </i>
    <i r="3">
      <x v="19"/>
    </i>
    <i r="3">
      <x v="20"/>
    </i>
    <i r="3">
      <x v="22"/>
    </i>
    <i r="3">
      <x v="24"/>
    </i>
    <i r="2">
      <x v="280"/>
    </i>
    <i r="3">
      <x v="4"/>
    </i>
    <i r="3">
      <x v="9"/>
    </i>
    <i r="3">
      <x v="11"/>
    </i>
    <i r="3">
      <x v="12"/>
    </i>
    <i r="3">
      <x v="14"/>
    </i>
    <i r="3">
      <x v="15"/>
    </i>
    <i r="3">
      <x v="16"/>
    </i>
    <i r="3">
      <x v="17"/>
    </i>
    <i r="3">
      <x v="20"/>
    </i>
    <i r="3">
      <x v="24"/>
    </i>
    <i r="2">
      <x v="281"/>
    </i>
    <i r="3">
      <x v="2"/>
    </i>
    <i r="3">
      <x v="3"/>
    </i>
    <i r="3">
      <x v="5"/>
    </i>
    <i r="3">
      <x v="7"/>
    </i>
    <i r="3">
      <x v="9"/>
    </i>
    <i r="3">
      <x v="11"/>
    </i>
    <i r="3">
      <x v="12"/>
    </i>
    <i r="3">
      <x v="14"/>
    </i>
    <i r="3">
      <x v="18"/>
    </i>
    <i r="3">
      <x v="20"/>
    </i>
    <i r="3">
      <x v="21"/>
    </i>
    <i r="3">
      <x v="22"/>
    </i>
    <i r="3">
      <x v="24"/>
    </i>
    <i r="2">
      <x v="282"/>
    </i>
    <i r="3">
      <x v="2"/>
    </i>
    <i r="3">
      <x v="5"/>
    </i>
    <i r="3">
      <x v="9"/>
    </i>
    <i r="3">
      <x v="12"/>
    </i>
    <i r="3">
      <x v="14"/>
    </i>
    <i r="3">
      <x v="15"/>
    </i>
    <i r="3">
      <x v="17"/>
    </i>
    <i r="3">
      <x v="19"/>
    </i>
    <i r="3">
      <x v="20"/>
    </i>
    <i r="3">
      <x v="22"/>
    </i>
    <i r="3">
      <x v="24"/>
    </i>
    <i r="2">
      <x v="283"/>
    </i>
    <i r="3">
      <x v="1"/>
    </i>
    <i r="3">
      <x v="3"/>
    </i>
    <i r="3">
      <x v="4"/>
    </i>
    <i r="3">
      <x v="5"/>
    </i>
    <i r="3">
      <x v="8"/>
    </i>
    <i r="3">
      <x v="9"/>
    </i>
    <i r="3">
      <x v="17"/>
    </i>
    <i r="3">
      <x v="18"/>
    </i>
    <i r="3">
      <x v="20"/>
    </i>
    <i r="3">
      <x v="23"/>
    </i>
    <i r="3">
      <x v="24"/>
    </i>
    <i r="2">
      <x v="284"/>
    </i>
    <i r="3">
      <x v="5"/>
    </i>
    <i r="3">
      <x v="6"/>
    </i>
    <i r="3">
      <x v="7"/>
    </i>
    <i r="3">
      <x v="8"/>
    </i>
    <i r="3">
      <x v="9"/>
    </i>
    <i r="3">
      <x v="12"/>
    </i>
    <i r="3">
      <x v="13"/>
    </i>
    <i r="3">
      <x v="14"/>
    </i>
    <i r="3">
      <x v="17"/>
    </i>
    <i r="3">
      <x v="18"/>
    </i>
    <i r="3">
      <x v="20"/>
    </i>
    <i r="3">
      <x v="24"/>
    </i>
    <i r="2">
      <x v="285"/>
    </i>
    <i r="3">
      <x v="5"/>
    </i>
    <i r="3">
      <x v="6"/>
    </i>
    <i r="3">
      <x v="9"/>
    </i>
    <i r="3">
      <x v="10"/>
    </i>
    <i r="3">
      <x v="13"/>
    </i>
    <i r="3">
      <x v="16"/>
    </i>
    <i r="3">
      <x v="21"/>
    </i>
    <i r="3">
      <x v="24"/>
    </i>
    <i r="2">
      <x v="286"/>
    </i>
    <i r="3">
      <x v="5"/>
    </i>
    <i r="3">
      <x v="10"/>
    </i>
    <i r="3">
      <x v="12"/>
    </i>
    <i r="3">
      <x v="15"/>
    </i>
    <i r="3">
      <x v="16"/>
    </i>
    <i r="3">
      <x v="18"/>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194584123">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194584123">
      <items count="21">
        <i x="8" s="1"/>
        <i x="12" s="1"/>
        <i x="11" s="1"/>
        <i x="1" s="1"/>
        <i x="14" s="1"/>
        <i x="17" s="1"/>
        <i x="19" s="1"/>
        <i x="5" s="1"/>
        <i x="7" s="1"/>
        <i x="16" s="1"/>
        <i x="18" s="1"/>
        <i x="3" s="1"/>
        <i x="10" s="1"/>
        <i x="2" s="1"/>
        <i x="9" s="1"/>
        <i x="6" s="1"/>
        <i x="15" s="1"/>
        <i x="13" s="1"/>
        <i x="4"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5" totalsRowShown="0" headerRowDxfId="501" dataDxfId="465">
  <autoFilter ref="A2:BN425"/>
  <tableColumns count="66">
    <tableColumn id="1" name="Vertex 1" dataDxfId="450"/>
    <tableColumn id="2" name="Vertex 2" dataDxfId="448"/>
    <tableColumn id="3" name="Color" dataDxfId="449"/>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54"/>
    <tableColumn id="7" name="ID" dataDxfId="467"/>
    <tableColumn id="9" name="Dynamic Filter" dataDxfId="466"/>
    <tableColumn id="8" name="Add Your Own Columns Here" dataDxfId="447"/>
    <tableColumn id="15" name="Relationship" dataDxfId="446"/>
    <tableColumn id="16" name="Relationship Date (UTC)" dataDxfId="445"/>
    <tableColumn id="17" name="Tweet" dataDxfId="444"/>
    <tableColumn id="18" name="URLs in Tweet" dataDxfId="443"/>
    <tableColumn id="19" name="Domains in Tweet" dataDxfId="442"/>
    <tableColumn id="20" name="Hashtags in Tweet" dataDxfId="441"/>
    <tableColumn id="21" name="Media in Tweet" dataDxfId="440"/>
    <tableColumn id="22" name="Tweet Image File" dataDxfId="439"/>
    <tableColumn id="23" name="Tweet Date (UTC)" dataDxfId="438"/>
    <tableColumn id="24" name="Date" dataDxfId="437"/>
    <tableColumn id="25" name="Time" dataDxfId="436"/>
    <tableColumn id="26" name="Twitter Page for Tweet" dataDxfId="435"/>
    <tableColumn id="27" name="Latitude" dataDxfId="434"/>
    <tableColumn id="28" name="Longitude" dataDxfId="433"/>
    <tableColumn id="29" name="Imported ID" dataDxfId="432"/>
    <tableColumn id="30" name="In-Reply-To Tweet ID" dataDxfId="431"/>
    <tableColumn id="31" name="Favorited" dataDxfId="430"/>
    <tableColumn id="32" name="Favorite Count" dataDxfId="429"/>
    <tableColumn id="33" name="In-Reply-To User ID" dataDxfId="428"/>
    <tableColumn id="34" name="Is Quote Status" dataDxfId="427"/>
    <tableColumn id="35" name="Language" dataDxfId="426"/>
    <tableColumn id="36" name="Possibly Sensitive" dataDxfId="425"/>
    <tableColumn id="37" name="Quoted Status ID" dataDxfId="424"/>
    <tableColumn id="38" name="Retweeted" dataDxfId="423"/>
    <tableColumn id="39" name="Retweet Count" dataDxfId="422"/>
    <tableColumn id="40" name="Retweet ID" dataDxfId="421"/>
    <tableColumn id="41" name="Source" dataDxfId="420"/>
    <tableColumn id="42" name="Truncated" dataDxfId="419"/>
    <tableColumn id="43" name="Unified Twitter ID" dataDxfId="418"/>
    <tableColumn id="44" name="Imported Tweet Type" dataDxfId="417"/>
    <tableColumn id="45" name="Added By Extended Analysis" dataDxfId="416"/>
    <tableColumn id="46" name="Corrected By Extended Analysis" dataDxfId="415"/>
    <tableColumn id="47" name="Place Bounding Box" dataDxfId="414"/>
    <tableColumn id="48" name="Place Country" dataDxfId="413"/>
    <tableColumn id="49" name="Place Country Code" dataDxfId="412"/>
    <tableColumn id="50" name="Place Full Name" dataDxfId="411"/>
    <tableColumn id="51" name="Place ID" dataDxfId="410"/>
    <tableColumn id="52" name="Place Name" dataDxfId="409"/>
    <tableColumn id="53" name="Place Type" dataDxfId="408"/>
    <tableColumn id="54" name="Place URL" dataDxfId="407"/>
    <tableColumn id="55" name="Edge Weight"/>
    <tableColumn id="56" name="Vertex 1 Group" dataDxfId="36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List1 Word Count" dataDxfId="119"/>
    <tableColumn id="59" name="Sentiment List #1: List1 Word Percentage (%)" dataDxfId="118"/>
    <tableColumn id="60" name="Sentiment List #2: List2 Word Count" dataDxfId="117"/>
    <tableColumn id="61" name="Sentiment List #2: List2 Word Percentage (%)" dataDxfId="116"/>
    <tableColumn id="62" name="Sentiment List #3: List3 Word Count" dataDxfId="115"/>
    <tableColumn id="63" name="Sentiment List #3: List3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3" dataDxfId="352">
  <autoFilter ref="A1:V11"/>
  <tableColumns count="22">
    <tableColumn id="1" name="Top URLs in Tweet in Entire Graph" dataDxfId="351"/>
    <tableColumn id="2" name="Entire Graph Count" dataDxfId="350"/>
    <tableColumn id="3" name="Top URLs in Tweet in G1" dataDxfId="349"/>
    <tableColumn id="4" name="G1 Count" dataDxfId="348"/>
    <tableColumn id="5" name="Top URLs in Tweet in G2" dataDxfId="347"/>
    <tableColumn id="6" name="G2 Count" dataDxfId="346"/>
    <tableColumn id="7" name="Top URLs in Tweet in G3" dataDxfId="345"/>
    <tableColumn id="8" name="G3 Count" dataDxfId="344"/>
    <tableColumn id="9" name="Top URLs in Tweet in G4" dataDxfId="343"/>
    <tableColumn id="10" name="G4 Count" dataDxfId="342"/>
    <tableColumn id="11" name="Top URLs in Tweet in G5" dataDxfId="341"/>
    <tableColumn id="12" name="G5 Count" dataDxfId="340"/>
    <tableColumn id="13" name="Top URLs in Tweet in G6" dataDxfId="339"/>
    <tableColumn id="14" name="G6 Count" dataDxfId="338"/>
    <tableColumn id="15" name="Top URLs in Tweet in G7" dataDxfId="337"/>
    <tableColumn id="16" name="G7 Count" dataDxfId="336"/>
    <tableColumn id="17" name="Top URLs in Tweet in G8" dataDxfId="335"/>
    <tableColumn id="18" name="G8 Count" dataDxfId="334"/>
    <tableColumn id="19" name="Top URLs in Tweet in G9" dataDxfId="333"/>
    <tableColumn id="20" name="G9 Count" dataDxfId="332"/>
    <tableColumn id="21" name="Top URLs in Tweet in G10" dataDxfId="331"/>
    <tableColumn id="22" name="G10 Count" dataDxfId="3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8" dataDxfId="327">
  <autoFilter ref="A14:V24"/>
  <tableColumns count="22">
    <tableColumn id="1" name="Top Domains in Tweet in Entire Graph" dataDxfId="326"/>
    <tableColumn id="2" name="Entire Graph Count" dataDxfId="325"/>
    <tableColumn id="3" name="Top Domains in Tweet in G1" dataDxfId="324"/>
    <tableColumn id="4" name="G1 Count" dataDxfId="323"/>
    <tableColumn id="5" name="Top Domains in Tweet in G2" dataDxfId="322"/>
    <tableColumn id="6" name="G2 Count" dataDxfId="321"/>
    <tableColumn id="7" name="Top Domains in Tweet in G3" dataDxfId="320"/>
    <tableColumn id="8" name="G3 Count" dataDxfId="319"/>
    <tableColumn id="9" name="Top Domains in Tweet in G4" dataDxfId="318"/>
    <tableColumn id="10" name="G4 Count" dataDxfId="317"/>
    <tableColumn id="11" name="Top Domains in Tweet in G5" dataDxfId="316"/>
    <tableColumn id="12" name="G5 Count" dataDxfId="315"/>
    <tableColumn id="13" name="Top Domains in Tweet in G6" dataDxfId="314"/>
    <tableColumn id="14" name="G6 Count" dataDxfId="313"/>
    <tableColumn id="15" name="Top Domains in Tweet in G7" dataDxfId="312"/>
    <tableColumn id="16" name="G7 Count" dataDxfId="311"/>
    <tableColumn id="17" name="Top Domains in Tweet in G8" dataDxfId="310"/>
    <tableColumn id="18" name="G8 Count" dataDxfId="309"/>
    <tableColumn id="19" name="Top Domains in Tweet in G9" dataDxfId="308"/>
    <tableColumn id="20" name="G9 Count" dataDxfId="307"/>
    <tableColumn id="21" name="Top Domains in Tweet in G10" dataDxfId="306"/>
    <tableColumn id="22" name="G10 Count" dataDxfId="3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3" dataDxfId="302">
  <autoFilter ref="A27:V37"/>
  <tableColumns count="22">
    <tableColumn id="1" name="Top Hashtags in Tweet in Entire Graph" dataDxfId="301"/>
    <tableColumn id="2" name="Entire Graph Count" dataDxfId="300"/>
    <tableColumn id="3" name="Top Hashtags in Tweet in G1" dataDxfId="299"/>
    <tableColumn id="4" name="G1 Count" dataDxfId="298"/>
    <tableColumn id="5" name="Top Hashtags in Tweet in G2" dataDxfId="297"/>
    <tableColumn id="6" name="G2 Count" dataDxfId="296"/>
    <tableColumn id="7" name="Top Hashtags in Tweet in G3" dataDxfId="295"/>
    <tableColumn id="8" name="G3 Count" dataDxfId="294"/>
    <tableColumn id="9" name="Top Hashtags in Tweet in G4" dataDxfId="293"/>
    <tableColumn id="10" name="G4 Count" dataDxfId="292"/>
    <tableColumn id="11" name="Top Hashtags in Tweet in G5" dataDxfId="291"/>
    <tableColumn id="12" name="G5 Count" dataDxfId="290"/>
    <tableColumn id="13" name="Top Hashtags in Tweet in G6" dataDxfId="289"/>
    <tableColumn id="14" name="G6 Count" dataDxfId="288"/>
    <tableColumn id="15" name="Top Hashtags in Tweet in G7" dataDxfId="287"/>
    <tableColumn id="16" name="G7 Count" dataDxfId="286"/>
    <tableColumn id="17" name="Top Hashtags in Tweet in G8" dataDxfId="285"/>
    <tableColumn id="18" name="G8 Count" dataDxfId="284"/>
    <tableColumn id="19" name="Top Hashtags in Tweet in G9" dataDxfId="283"/>
    <tableColumn id="20" name="G9 Count" dataDxfId="282"/>
    <tableColumn id="21" name="Top Hashtags in Tweet in G10" dataDxfId="281"/>
    <tableColumn id="22" name="G10 Count" dataDxfId="28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8" dataDxfId="277">
  <autoFilter ref="A40:V50"/>
  <tableColumns count="22">
    <tableColumn id="1" name="Top Words in Tweet in Entire Graph" dataDxfId="276"/>
    <tableColumn id="2" name="Entire Graph Count" dataDxfId="275"/>
    <tableColumn id="3" name="Top Words in Tweet in G1" dataDxfId="274"/>
    <tableColumn id="4" name="G1 Count" dataDxfId="273"/>
    <tableColumn id="5" name="Top Words in Tweet in G2" dataDxfId="272"/>
    <tableColumn id="6" name="G2 Count" dataDxfId="271"/>
    <tableColumn id="7" name="Top Words in Tweet in G3" dataDxfId="270"/>
    <tableColumn id="8" name="G3 Count" dataDxfId="269"/>
    <tableColumn id="9" name="Top Words in Tweet in G4" dataDxfId="268"/>
    <tableColumn id="10" name="G4 Count" dataDxfId="267"/>
    <tableColumn id="11" name="Top Words in Tweet in G5" dataDxfId="266"/>
    <tableColumn id="12" name="G5 Count" dataDxfId="265"/>
    <tableColumn id="13" name="Top Words in Tweet in G6" dataDxfId="264"/>
    <tableColumn id="14" name="G6 Count" dataDxfId="263"/>
    <tableColumn id="15" name="Top Words in Tweet in G7" dataDxfId="262"/>
    <tableColumn id="16" name="G7 Count" dataDxfId="261"/>
    <tableColumn id="17" name="Top Words in Tweet in G8" dataDxfId="260"/>
    <tableColumn id="18" name="G8 Count" dataDxfId="259"/>
    <tableColumn id="19" name="Top Words in Tweet in G9" dataDxfId="258"/>
    <tableColumn id="20" name="G9 Count" dataDxfId="257"/>
    <tableColumn id="21" name="Top Words in Tweet in G10" dataDxfId="256"/>
    <tableColumn id="22" name="G10 Count" dataDxfId="25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3" dataDxfId="252">
  <autoFilter ref="A53:V63"/>
  <tableColumns count="22">
    <tableColumn id="1" name="Top Word Pairs in Tweet in Entire Graph" dataDxfId="251"/>
    <tableColumn id="2" name="Entire Graph Count" dataDxfId="250"/>
    <tableColumn id="3" name="Top Word Pairs in Tweet in G1" dataDxfId="249"/>
    <tableColumn id="4" name="G1 Count" dataDxfId="248"/>
    <tableColumn id="5" name="Top Word Pairs in Tweet in G2" dataDxfId="247"/>
    <tableColumn id="6" name="G2 Count" dataDxfId="246"/>
    <tableColumn id="7" name="Top Word Pairs in Tweet in G3" dataDxfId="245"/>
    <tableColumn id="8" name="G3 Count" dataDxfId="244"/>
    <tableColumn id="9" name="Top Word Pairs in Tweet in G4" dataDxfId="243"/>
    <tableColumn id="10" name="G4 Count" dataDxfId="242"/>
    <tableColumn id="11" name="Top Word Pairs in Tweet in G5" dataDxfId="241"/>
    <tableColumn id="12" name="G5 Count" dataDxfId="240"/>
    <tableColumn id="13" name="Top Word Pairs in Tweet in G6" dataDxfId="239"/>
    <tableColumn id="14" name="G6 Count" dataDxfId="238"/>
    <tableColumn id="15" name="Top Word Pairs in Tweet in G7" dataDxfId="237"/>
    <tableColumn id="16" name="G7 Count" dataDxfId="236"/>
    <tableColumn id="17" name="Top Word Pairs in Tweet in G8" dataDxfId="235"/>
    <tableColumn id="18" name="G8 Count" dataDxfId="234"/>
    <tableColumn id="19" name="Top Word Pairs in Tweet in G9" dataDxfId="233"/>
    <tableColumn id="20" name="G9 Count" dataDxfId="232"/>
    <tableColumn id="21" name="Top Word Pairs in Tweet in G10" dataDxfId="231"/>
    <tableColumn id="22" name="G10 Count" dataDxfId="2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8" dataDxfId="227">
  <autoFilter ref="A66:V76"/>
  <tableColumns count="22">
    <tableColumn id="1" name="Top Replied-To in Entire Graph" dataDxfId="226"/>
    <tableColumn id="2" name="Entire Graph Count" dataDxfId="222"/>
    <tableColumn id="3" name="Top Replied-To in G1" dataDxfId="221"/>
    <tableColumn id="4" name="G1 Count" dataDxfId="218"/>
    <tableColumn id="5" name="Top Replied-To in G2" dataDxfId="217"/>
    <tableColumn id="6" name="G2 Count" dataDxfId="214"/>
    <tableColumn id="7" name="Top Replied-To in G3" dataDxfId="213"/>
    <tableColumn id="8" name="G3 Count" dataDxfId="210"/>
    <tableColumn id="9" name="Top Replied-To in G4" dataDxfId="209"/>
    <tableColumn id="10" name="G4 Count" dataDxfId="206"/>
    <tableColumn id="11" name="Top Replied-To in G5" dataDxfId="205"/>
    <tableColumn id="12" name="G5 Count" dataDxfId="202"/>
    <tableColumn id="13" name="Top Replied-To in G6" dataDxfId="201"/>
    <tableColumn id="14" name="G6 Count" dataDxfId="198"/>
    <tableColumn id="15" name="Top Replied-To in G7" dataDxfId="197"/>
    <tableColumn id="16" name="G7 Count" dataDxfId="194"/>
    <tableColumn id="17" name="Top Replied-To in G8" dataDxfId="193"/>
    <tableColumn id="18" name="G8 Count" dataDxfId="190"/>
    <tableColumn id="19" name="Top Replied-To in G9" dataDxfId="189"/>
    <tableColumn id="20" name="G9 Count" dataDxfId="186"/>
    <tableColumn id="21" name="Top Replied-To in G10" dataDxfId="185"/>
    <tableColumn id="22" name="G10 Count" dataDxfId="18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5" dataDxfId="224">
  <autoFilter ref="A79:V89"/>
  <tableColumns count="22">
    <tableColumn id="1" name="Top Mentioned in Entire Graph" dataDxfId="223"/>
    <tableColumn id="2" name="Entire Graph Count" dataDxfId="220"/>
    <tableColumn id="3" name="Top Mentioned in G1" dataDxfId="219"/>
    <tableColumn id="4" name="G1 Count" dataDxfId="216"/>
    <tableColumn id="5" name="Top Mentioned in G2" dataDxfId="215"/>
    <tableColumn id="6" name="G2 Count" dataDxfId="212"/>
    <tableColumn id="7" name="Top Mentioned in G3" dataDxfId="211"/>
    <tableColumn id="8" name="G3 Count" dataDxfId="208"/>
    <tableColumn id="9" name="Top Mentioned in G4" dataDxfId="207"/>
    <tableColumn id="10" name="G4 Count" dataDxfId="204"/>
    <tableColumn id="11" name="Top Mentioned in G5" dataDxfId="203"/>
    <tableColumn id="12" name="G5 Count" dataDxfId="200"/>
    <tableColumn id="13" name="Top Mentioned in G6" dataDxfId="199"/>
    <tableColumn id="14" name="G6 Count" dataDxfId="196"/>
    <tableColumn id="15" name="Top Mentioned in G7" dataDxfId="195"/>
    <tableColumn id="16" name="G7 Count" dataDxfId="192"/>
    <tableColumn id="17" name="Top Mentioned in G8" dataDxfId="191"/>
    <tableColumn id="18" name="G8 Count" dataDxfId="188"/>
    <tableColumn id="19" name="Top Mentioned in G9" dataDxfId="187"/>
    <tableColumn id="20" name="G9 Count" dataDxfId="183"/>
    <tableColumn id="21" name="Top Mentioned in G10" dataDxfId="182"/>
    <tableColumn id="22" name="G10 Count" dataDxfId="18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8" dataDxfId="177">
  <autoFilter ref="A92:V102"/>
  <tableColumns count="22">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 id="19" name="Top Tweeters in G9" dataDxfId="158"/>
    <tableColumn id="20" name="G9 Count" dataDxfId="157"/>
    <tableColumn id="21" name="Top Tweeters in G10" dataDxfId="156"/>
    <tableColumn id="22" name="G10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834" totalsRowShown="0" headerRowDxfId="143" dataDxfId="142">
  <autoFilter ref="A1:G834"/>
  <tableColumns count="7">
    <tableColumn id="1" name="Word" dataDxfId="141"/>
    <tableColumn id="2" name="Count" dataDxfId="140"/>
    <tableColumn id="3" name="Salience" dataDxfId="139"/>
    <tableColumn id="4" name="Group" dataDxfId="138"/>
    <tableColumn id="5" name="Word on Sentiment List #1: List1" dataDxfId="137"/>
    <tableColumn id="6" name="Word on Sentiment List #2: List2" dataDxfId="136"/>
    <tableColumn id="7" name="Word on Sentiment List #3: List3"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74" totalsRowShown="0" headerRowDxfId="500" dataDxfId="451">
  <autoFilter ref="A2:BU174"/>
  <tableColumns count="73">
    <tableColumn id="1" name="Vertex" dataDxfId="464"/>
    <tableColumn id="73" name="Subgraph"/>
    <tableColumn id="2" name="Color" dataDxfId="463"/>
    <tableColumn id="5" name="Shape" dataDxfId="462"/>
    <tableColumn id="6" name="Size" dataDxfId="461"/>
    <tableColumn id="4" name="Opacity" dataDxfId="386"/>
    <tableColumn id="7" name="Image File" dataDxfId="384"/>
    <tableColumn id="3" name="Visibility" dataDxfId="385"/>
    <tableColumn id="10" name="Label" dataDxfId="460"/>
    <tableColumn id="16" name="Label Fill Color" dataDxfId="459"/>
    <tableColumn id="9" name="Label Position" dataDxfId="380"/>
    <tableColumn id="8" name="Tooltip" dataDxfId="378"/>
    <tableColumn id="18" name="Layout Order" dataDxfId="379"/>
    <tableColumn id="13" name="X" dataDxfId="458"/>
    <tableColumn id="14" name="Y" dataDxfId="457"/>
    <tableColumn id="12" name="Locked?" dataDxfId="456"/>
    <tableColumn id="19" name="Polar R" dataDxfId="455"/>
    <tableColumn id="20" name="Polar Angle" dataDxfId="454"/>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53"/>
    <tableColumn id="28" name="Dynamic Filter" dataDxfId="452"/>
    <tableColumn id="17" name="Add Your Own Columns Here" dataDxfId="406"/>
    <tableColumn id="30" name="Name" dataDxfId="405"/>
    <tableColumn id="31" name="User ID" dataDxfId="404"/>
    <tableColumn id="32" name="Followed" dataDxfId="403"/>
    <tableColumn id="33" name="Followers" dataDxfId="402"/>
    <tableColumn id="34" name="Tweets" dataDxfId="401"/>
    <tableColumn id="35" name="Favorites" dataDxfId="400"/>
    <tableColumn id="36" name="Time Zone UTC Offset (Seconds)" dataDxfId="399"/>
    <tableColumn id="37" name="Description" dataDxfId="398"/>
    <tableColumn id="38" name="Location" dataDxfId="397"/>
    <tableColumn id="39" name="Web" dataDxfId="396"/>
    <tableColumn id="40" name="Time Zone" dataDxfId="395"/>
    <tableColumn id="41" name="Joined Twitter Date (UTC)" dataDxfId="394"/>
    <tableColumn id="42" name="Profile Banner Url" dataDxfId="393"/>
    <tableColumn id="43" name="Default Profile" dataDxfId="392"/>
    <tableColumn id="44" name="Default Profile Image" dataDxfId="391"/>
    <tableColumn id="45" name="Geo Enabled" dataDxfId="390"/>
    <tableColumn id="46" name="Language" dataDxfId="389"/>
    <tableColumn id="47" name="Listed Count" dataDxfId="388"/>
    <tableColumn id="48" name="Profile Background Image Url" dataDxfId="387"/>
    <tableColumn id="49" name="Verified" dataDxfId="383"/>
    <tableColumn id="50" name="Custom Menu Item Text" dataDxfId="382"/>
    <tableColumn id="51" name="Custom Menu Item Action" dataDxfId="381"/>
    <tableColumn id="52" name="Tweeted Search Term?" dataDxfId="370"/>
    <tableColumn id="53" name="Vertex Group" dataDxfId="153">
      <calculatedColumnFormula>REPLACE(INDEX(GroupVertices[Group], MATCH(Vertices[[#This Row],[Vertex]],GroupVertices[Vertex],0)),1,1,"")</calculatedColumnFormula>
    </tableColumn>
    <tableColumn id="54" name="Top URLs in Tweet by Count" dataDxfId="152"/>
    <tableColumn id="55" name="Top URLs in Tweet by Salience" dataDxfId="151"/>
    <tableColumn id="56" name="Top Domains in Tweet by Count" dataDxfId="150"/>
    <tableColumn id="57" name="Top Domains in Tweet by Salience" dataDxfId="149"/>
    <tableColumn id="58" name="Top Hashtags in Tweet by Count" dataDxfId="148"/>
    <tableColumn id="59" name="Top Hashtags in Tweet by Salience" dataDxfId="147"/>
    <tableColumn id="60" name="Top Words in Tweet by Count" dataDxfId="146"/>
    <tableColumn id="61" name="Top Words in Tweet by Salience" dataDxfId="145"/>
    <tableColumn id="62" name="Top Word Pairs in Tweet by Count" dataDxfId="144"/>
    <tableColumn id="63" name="Top Word Pairs in Tweet by Salience" dataDxfId="110"/>
    <tableColumn id="64" name="Sentiment List #1: List1 Word Count" dataDxfId="109"/>
    <tableColumn id="65" name="Sentiment List #1: List1 Word Percentage (%)" dataDxfId="108"/>
    <tableColumn id="66" name="Sentiment List #2: List2 Word Count" dataDxfId="107"/>
    <tableColumn id="67" name="Sentiment List #2: List2 Word Percentage (%)" dataDxfId="106"/>
    <tableColumn id="68" name="Sentiment List #3: List3 Word Count" dataDxfId="105"/>
    <tableColumn id="69" name="Sentiment List #3: List3 Word Percentage (%)" dataDxfId="104"/>
    <tableColumn id="70" name="Non-categorized Word Count" dataDxfId="103"/>
    <tableColumn id="71" name="Non-categorized Word Percentage (%)" dataDxfId="102"/>
    <tableColumn id="72"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41" totalsRowShown="0" headerRowDxfId="134" dataDxfId="133">
  <autoFilter ref="A1:L841"/>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List1" dataDxfId="126"/>
    <tableColumn id="8" name="Word1 on Sentiment List #2: List2" dataDxfId="125"/>
    <tableColumn id="9" name="Word1 on Sentiment List #3: List3" dataDxfId="124"/>
    <tableColumn id="10" name="Word2 on Sentiment List #1: List1" dataDxfId="123"/>
    <tableColumn id="11" name="Word2 on Sentiment List #2: List2" dataDxfId="122"/>
    <tableColumn id="12" name="Word2 on Sentiment List #3: List3"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90" dataDxfId="89">
  <autoFilter ref="A2:C32"/>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89" totalsRowShown="0" headerRowDxfId="66" dataDxfId="65">
  <autoFilter ref="A2:BN1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99">
  <autoFilter ref="A2:AO30"/>
  <tableColumns count="41">
    <tableColumn id="1" name="Group" dataDxfId="377"/>
    <tableColumn id="2" name="Vertex Color" dataDxfId="376"/>
    <tableColumn id="3" name="Vertex Shape" dataDxfId="374"/>
    <tableColumn id="22" name="Visibility" dataDxfId="375"/>
    <tableColumn id="4" name="Collapsed?"/>
    <tableColumn id="18" name="Label" dataDxfId="498"/>
    <tableColumn id="20" name="Collapsed X"/>
    <tableColumn id="21" name="Collapsed Y"/>
    <tableColumn id="6" name="ID" dataDxfId="497"/>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29"/>
    <tableColumn id="23" name="Top URLs in Tweet" dataDxfId="304"/>
    <tableColumn id="26" name="Top Domains in Tweet" dataDxfId="279"/>
    <tableColumn id="27" name="Top Hashtags in Tweet" dataDxfId="254"/>
    <tableColumn id="28" name="Top Words in Tweet" dataDxfId="229"/>
    <tableColumn id="29" name="Top Word Pairs in Tweet" dataDxfId="180"/>
    <tableColumn id="30" name="Top Replied-To in Tweet" dataDxfId="179"/>
    <tableColumn id="31" name="Top Mentioned in Tweet" dataDxfId="154"/>
    <tableColumn id="32" name="Top Tweeters" dataDxfId="100"/>
    <tableColumn id="33" name="Sentiment List #1: List1 Word Count" dataDxfId="99"/>
    <tableColumn id="34" name="Sentiment List #1: List1 Word Percentage (%)" dataDxfId="98"/>
    <tableColumn id="35" name="Sentiment List #2: List2 Word Count" dataDxfId="97"/>
    <tableColumn id="36" name="Sentiment List #2: List2 Word Percentage (%)" dataDxfId="96"/>
    <tableColumn id="37" name="Sentiment List #3: List3 Word Count" dataDxfId="95"/>
    <tableColumn id="38" name="Sentiment List #3: List3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3" totalsRowShown="0" headerRowDxfId="496" dataDxfId="495">
  <autoFilter ref="A1:C173"/>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4"/>
    <tableColumn id="2" name="Degree Frequency" dataDxfId="493">
      <calculatedColumnFormula>COUNTIF(Vertices[Degree], "&gt;= " &amp; D2) - COUNTIF(Vertices[Degree], "&gt;=" &amp; D3)</calculatedColumnFormula>
    </tableColumn>
    <tableColumn id="3" name="In-Degree Bin" dataDxfId="492"/>
    <tableColumn id="4" name="In-Degree Frequency" dataDxfId="491">
      <calculatedColumnFormula>COUNTIF(Vertices[In-Degree], "&gt;= " &amp; F2) - COUNTIF(Vertices[In-Degree], "&gt;=" &amp; F3)</calculatedColumnFormula>
    </tableColumn>
    <tableColumn id="5" name="Out-Degree Bin" dataDxfId="490"/>
    <tableColumn id="6" name="Out-Degree Frequency" dataDxfId="489">
      <calculatedColumnFormula>COUNTIF(Vertices[Out-Degree], "&gt;= " &amp; H2) - COUNTIF(Vertices[Out-Degree], "&gt;=" &amp; H3)</calculatedColumnFormula>
    </tableColumn>
    <tableColumn id="7" name="Betweenness Centrality Bin" dataDxfId="488"/>
    <tableColumn id="8" name="Betweenness Centrality Frequency" dataDxfId="487">
      <calculatedColumnFormula>COUNTIF(Vertices[Betweenness Centrality], "&gt;= " &amp; J2) - COUNTIF(Vertices[Betweenness Centrality], "&gt;=" &amp; J3)</calculatedColumnFormula>
    </tableColumn>
    <tableColumn id="9" name="Closeness Centrality Bin" dataDxfId="486"/>
    <tableColumn id="10" name="Closeness Centrality Frequency" dataDxfId="485">
      <calculatedColumnFormula>COUNTIF(Vertices[Closeness Centrality], "&gt;= " &amp; L2) - COUNTIF(Vertices[Closeness Centrality], "&gt;=" &amp; L3)</calculatedColumnFormula>
    </tableColumn>
    <tableColumn id="11" name="Eigenvector Centrality Bin" dataDxfId="484"/>
    <tableColumn id="12" name="Eigenvector Centrality Frequency" dataDxfId="483">
      <calculatedColumnFormula>COUNTIF(Vertices[Eigenvector Centrality], "&gt;= " &amp; N2) - COUNTIF(Vertices[Eigenvector Centrality], "&gt;=" &amp; N3)</calculatedColumnFormula>
    </tableColumn>
    <tableColumn id="18" name="PageRank Bin" dataDxfId="482"/>
    <tableColumn id="17" name="PageRank Frequency" dataDxfId="481">
      <calculatedColumnFormula>COUNTIF(Vertices[Eigenvector Centrality], "&gt;= " &amp; P2) - COUNTIF(Vertices[Eigenvector Centrality], "&gt;=" &amp; P3)</calculatedColumnFormula>
    </tableColumn>
    <tableColumn id="13" name="Clustering Coefficient Bin" dataDxfId="480"/>
    <tableColumn id="14" name="Clustering Coefficient Frequency" dataDxfId="479">
      <calculatedColumnFormula>COUNTIF(Vertices[Clustering Coefficient], "&gt;= " &amp; R2) - COUNTIF(Vertices[Clustering Coefficient], "&gt;=" &amp; R3)</calculatedColumnFormula>
    </tableColumn>
    <tableColumn id="15" name="Dynamic Filter Bin" dataDxfId="478"/>
    <tableColumn id="16" name="Dynamic Filter Frequency" dataDxfId="4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egnews.com/2021/10/ashton-kutcher-cell-based-meat" TargetMode="External" /><Relationship Id="rId2" Type="http://schemas.openxmlformats.org/officeDocument/2006/relationships/hyperlink" Target="https://econ.trib.al/B6siniM" TargetMode="External" /><Relationship Id="rId3" Type="http://schemas.openxmlformats.org/officeDocument/2006/relationships/hyperlink" Target="https://econ.trib.al/UuLdSAj" TargetMode="External" /><Relationship Id="rId4" Type="http://schemas.openxmlformats.org/officeDocument/2006/relationships/hyperlink" Target="https://econ.trib.al/w1YeE88" TargetMode="External" /><Relationship Id="rId5" Type="http://schemas.openxmlformats.org/officeDocument/2006/relationships/hyperlink" Target="https://www.economist.com/podcasts/2021/10/05/a-new-anthropocene-diet-the-future-of-food?utm_campaign=editorial-social&amp;utm_medium=social-organic&amp;utm_source=twitter" TargetMode="External" /><Relationship Id="rId6" Type="http://schemas.openxmlformats.org/officeDocument/2006/relationships/hyperlink" Target="https://vision4thefuture.co/lab-made-dairy-products/" TargetMode="External" /><Relationship Id="rId7" Type="http://schemas.openxmlformats.org/officeDocument/2006/relationships/hyperlink" Target="https://www.fooddive.com/news/75-of-cell-based-meat-companies-prefer-the-term-cultivated-for-their-pro/607500/" TargetMode="External" /><Relationship Id="rId8" Type="http://schemas.openxmlformats.org/officeDocument/2006/relationships/hyperlink" Target="https://channels.ft.com/en/foodrevolution/lab-grown-meat-the-future-of-food/?utm_content=buffer9816a&amp;utm_medium=social&amp;utm_source=twitter.com&amp;utm_campaign=buffer" TargetMode="External" /><Relationship Id="rId9" Type="http://schemas.openxmlformats.org/officeDocument/2006/relationships/hyperlink" Target="https://econ.trib.al/AoNqILv" TargetMode="External" /><Relationship Id="rId10" Type="http://schemas.openxmlformats.org/officeDocument/2006/relationships/hyperlink" Target="https://econ.trib.al/fJkeRl8" TargetMode="External" /><Relationship Id="rId11" Type="http://schemas.openxmlformats.org/officeDocument/2006/relationships/hyperlink" Target="https://econ.trib.al/UuLdSAj" TargetMode="External" /><Relationship Id="rId12" Type="http://schemas.openxmlformats.org/officeDocument/2006/relationships/hyperlink" Target="https://econ.trib.al/B6siniM" TargetMode="External" /><Relationship Id="rId13" Type="http://schemas.openxmlformats.org/officeDocument/2006/relationships/hyperlink" Target="https://econ.trib.al/w1YeE88" TargetMode="External" /><Relationship Id="rId14" Type="http://schemas.openxmlformats.org/officeDocument/2006/relationships/hyperlink" Target="https://www.economist.com/podcasts/2021/10/05/a-new-anthropocene-diet-the-future-of-food?utm_campaign=editorial-social&amp;utm_medium=social-organic&amp;utm_source=twitter" TargetMode="External" /><Relationship Id="rId15" Type="http://schemas.openxmlformats.org/officeDocument/2006/relationships/hyperlink" Target="https://econ.trib.al/AoNqILv" TargetMode="External" /><Relationship Id="rId16" Type="http://schemas.openxmlformats.org/officeDocument/2006/relationships/hyperlink" Target="https://econ.trib.al/NL8KzOD" TargetMode="External" /><Relationship Id="rId17" Type="http://schemas.openxmlformats.org/officeDocument/2006/relationships/hyperlink" Target="https://econ.trib.al/fJkeRl8" TargetMode="External" /><Relationship Id="rId18" Type="http://schemas.openxmlformats.org/officeDocument/2006/relationships/hyperlink" Target="https://econ.trib.al/6yo11AH" TargetMode="External" /><Relationship Id="rId19" Type="http://schemas.openxmlformats.org/officeDocument/2006/relationships/hyperlink" Target="https://econ.trib.al/BfqdN5n" TargetMode="External" /><Relationship Id="rId20" Type="http://schemas.openxmlformats.org/officeDocument/2006/relationships/hyperlink" Target="https://econ.trib.al/hX2OEYl" TargetMode="External" /><Relationship Id="rId21" Type="http://schemas.openxmlformats.org/officeDocument/2006/relationships/hyperlink" Target="https://www.fooddive.com/news/75-of-cell-based-meat-companies-prefer-the-term-cultivated-for-their-pro/607500/" TargetMode="External" /><Relationship Id="rId22" Type="http://schemas.openxmlformats.org/officeDocument/2006/relationships/hyperlink" Target="https://vegnews.com/2021/10/ashton-kutcher-cell-based-meat" TargetMode="External" /><Relationship Id="rId23" Type="http://schemas.openxmlformats.org/officeDocument/2006/relationships/hyperlink" Target="https://plantbasednews.org/lifestyle/food/cell-cultured-meat-could-hit-grocery-stores-in-next-5-years-predicts-expert/" TargetMode="External" /><Relationship Id="rId24" Type="http://schemas.openxmlformats.org/officeDocument/2006/relationships/hyperlink" Target="https://www.meatpoultry.com/articles/25595-crowding-on-the-cell-based-bandwagon" TargetMode="External" /><Relationship Id="rId25" Type="http://schemas.openxmlformats.org/officeDocument/2006/relationships/hyperlink" Target="https://www.ecowatch.com/cell-based-food-climate-change-2649951865.html" TargetMode="External" /><Relationship Id="rId26" Type="http://schemas.openxmlformats.org/officeDocument/2006/relationships/hyperlink" Target="https://facebook.com/170838427821860/posts/373108070928227/?d=n" TargetMode="External" /><Relationship Id="rId27" Type="http://schemas.openxmlformats.org/officeDocument/2006/relationships/hyperlink" Target="https://www.linkedin.com/slink?code=da6jQa5d" TargetMode="External" /><Relationship Id="rId28" Type="http://schemas.openxmlformats.org/officeDocument/2006/relationships/hyperlink" Target="https://newrepublic.com/article/163857/lab-meat-marketing-gmo-foods" TargetMode="External" /><Relationship Id="rId29" Type="http://schemas.openxmlformats.org/officeDocument/2006/relationships/hyperlink" Target="https://www.studyfinds.org/people-experience-pain-eating/" TargetMode="External" /><Relationship Id="rId30" Type="http://schemas.openxmlformats.org/officeDocument/2006/relationships/hyperlink" Target="https://twitter.com/gregory_chupa/status/1446080921363492868" TargetMode="External" /><Relationship Id="rId31" Type="http://schemas.openxmlformats.org/officeDocument/2006/relationships/hyperlink" Target="https://www.greenqueen.com.hk/amp/cell-based-meat-economy-boost/" TargetMode="External" /><Relationship Id="rId32" Type="http://schemas.openxmlformats.org/officeDocument/2006/relationships/hyperlink" Target="https://www.greenqueen.com.hk/animal-alternative-technologies-renaissance-farm-cell-based-meat/?utm_content=bufferec53f&amp;utm_medium=social&amp;utm_source=twitter.com&amp;utm_campaign=buffer" TargetMode="External" /><Relationship Id="rId33" Type="http://schemas.openxmlformats.org/officeDocument/2006/relationships/hyperlink" Target="https://www.greenqueen.com.hk/hong-kong-cell-based-meat-study/" TargetMode="External" /><Relationship Id="rId34" Type="http://schemas.openxmlformats.org/officeDocument/2006/relationships/hyperlink" Target="https://www.economist.com/podcasts/2021/10/05/a-new-anthropocene-diet-the-future-of-food" TargetMode="External" /><Relationship Id="rId35" Type="http://schemas.openxmlformats.org/officeDocument/2006/relationships/hyperlink" Target="https://www.foodingredientsfirst.com/news/cell-based-antelope-could-cultured-meat-unlock-southern-africas-nutrition-problems.html" TargetMode="External" /><Relationship Id="rId36" Type="http://schemas.openxmlformats.org/officeDocument/2006/relationships/hyperlink" Target="https://techcrunch.com/2021/09/27/new-age-meats-bites-into-25m-for-cultured-meat-product-line-development/?utm_content=buffer97d50&amp;utm_medium=social&amp;utm_source=twitter.com&amp;utm_campaign=buffer" TargetMode="External" /><Relationship Id="rId37" Type="http://schemas.openxmlformats.org/officeDocument/2006/relationships/hyperlink" Target="https://www.foodingredientsfirst.com/news/cell-based-antelope-could-cultured-meat-unlock-southern-africas-nutrition-problems.html#.YV2so6A7Z2A.twitter" TargetMode="External" /><Relationship Id="rId38" Type="http://schemas.openxmlformats.org/officeDocument/2006/relationships/hyperlink" Target="https://www.facebook.com/PenangScienceCluster/videos/353356909554610" TargetMode="External" /><Relationship Id="rId39" Type="http://schemas.openxmlformats.org/officeDocument/2006/relationships/hyperlink" Target="https://www.livekindly.co/singapore-startup-world-first-cultured-crab/" TargetMode="External" /><Relationship Id="rId40" Type="http://schemas.openxmlformats.org/officeDocument/2006/relationships/hyperlink" Target="https://shiokmeats.com/shiok-meats-showcases-the-worlds-first-ever-cell-based-crab-meat-in-a-private-tasting-event/" TargetMode="External" /><Relationship Id="rId41" Type="http://schemas.openxmlformats.org/officeDocument/2006/relationships/hyperlink" Target="https://vegnews.com/2021/10/ashton-kutcher-cell-based-meat" TargetMode="External" /><Relationship Id="rId42" Type="http://schemas.openxmlformats.org/officeDocument/2006/relationships/hyperlink" Target="https://vegconomist.com/cultivated/herotein-partners-with-mission-barns-to-bring-first-hybrid-cultivated-plant-based-meat-products-to-china/" TargetMode="External" /><Relationship Id="rId43" Type="http://schemas.openxmlformats.org/officeDocument/2006/relationships/hyperlink" Target="https://www.fooddive.com/news/75-of-cell-based-meat-companies-prefer-the-term-cultivated-for-their-pro/607500/" TargetMode="External" /><Relationship Id="rId44" Type="http://schemas.openxmlformats.org/officeDocument/2006/relationships/hyperlink" Target="https://www.frontiersin.org/articles/10.3389/fsufs.2021.744199/full?utm_source=S-TWT&amp;utm_medium=SNET&amp;utm_campaign=ECO_FSUSTAIN_XXXXXXXX_auto-dlvrit" TargetMode="External" /><Relationship Id="rId45" Type="http://schemas.openxmlformats.org/officeDocument/2006/relationships/hyperlink" Target="https://gfi.org/blog/cultivated-meat-a-growing-nomenclature-consensus/" TargetMode="External" /><Relationship Id="rId46" Type="http://schemas.openxmlformats.org/officeDocument/2006/relationships/hyperlink" Target="https://medium.com/futurefood/one-week-in-a-post-18-plant-based-ingredients-you-can-pronounce-celebs-craziness-on-cellular-ag-30e1b1a51a40" TargetMode="External" /><Relationship Id="rId47" Type="http://schemas.openxmlformats.org/officeDocument/2006/relationships/hyperlink" Target="https://www.linkedin.com/pulse/why-you-should-keep-your-eye-cell-based-meat-kory-zelickson-/" TargetMode="External" /><Relationship Id="rId48" Type="http://schemas.openxmlformats.org/officeDocument/2006/relationships/hyperlink" Target="https://vision4thefuture.co/lab-made-dairy-products/" TargetMode="External" /><Relationship Id="rId49" Type="http://schemas.openxmlformats.org/officeDocument/2006/relationships/hyperlink" Target="https://www.linkedin.com/pulse/gfis-attempt-dismiss-counter-story-cell-based-meat-paul-wood-ao" TargetMode="External" /><Relationship Id="rId50" Type="http://schemas.openxmlformats.org/officeDocument/2006/relationships/hyperlink" Target="https://vegnews.com/2021/10/ashton-kutcher-cell-based-meat" TargetMode="External" /><Relationship Id="rId51" Type="http://schemas.openxmlformats.org/officeDocument/2006/relationships/hyperlink" Target="https://channels.ft.com/en/foodrevolution/lab-grown-meat-the-future-of-food/?utm_content=buffer9816a&amp;utm_medium=social&amp;utm_source=twitter.com&amp;utm_campaign=buffer" TargetMode="External" /><Relationship Id="rId52" Type="http://schemas.openxmlformats.org/officeDocument/2006/relationships/hyperlink" Target="https://techcrunch.com/2021/09/27/new-age-meats-bites-into-25m-for-cultured-meat-product-line-development/?utm_content=buffer97d50&amp;utm_medium=social&amp;utm_source=twitter.com&amp;utm_campaign=buffer" TargetMode="External" /><Relationship Id="rId53" Type="http://schemas.openxmlformats.org/officeDocument/2006/relationships/table" Target="../tables/table11.xm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1776</v>
      </c>
      <c r="BD2" s="13" t="s">
        <v>1818</v>
      </c>
      <c r="BE2" s="13" t="s">
        <v>1819</v>
      </c>
      <c r="BF2" s="54" t="s">
        <v>2727</v>
      </c>
      <c r="BG2" s="54" t="s">
        <v>2728</v>
      </c>
      <c r="BH2" s="54" t="s">
        <v>2729</v>
      </c>
      <c r="BI2" s="54" t="s">
        <v>2730</v>
      </c>
      <c r="BJ2" s="54" t="s">
        <v>2731</v>
      </c>
      <c r="BK2" s="54" t="s">
        <v>2732</v>
      </c>
      <c r="BL2" s="54" t="s">
        <v>2733</v>
      </c>
      <c r="BM2" s="54" t="s">
        <v>2734</v>
      </c>
      <c r="BN2" s="54" t="s">
        <v>2735</v>
      </c>
    </row>
    <row r="3" spans="1:66" ht="15" customHeight="1">
      <c r="A3" s="65" t="s">
        <v>366</v>
      </c>
      <c r="B3" s="65" t="s">
        <v>366</v>
      </c>
      <c r="C3" s="66" t="s">
        <v>2815</v>
      </c>
      <c r="D3" s="67">
        <v>3</v>
      </c>
      <c r="E3" s="68" t="s">
        <v>132</v>
      </c>
      <c r="F3" s="69">
        <v>32</v>
      </c>
      <c r="G3" s="66"/>
      <c r="H3" s="70"/>
      <c r="I3" s="71"/>
      <c r="J3" s="71"/>
      <c r="K3" s="35" t="s">
        <v>65</v>
      </c>
      <c r="L3" s="72">
        <v>3</v>
      </c>
      <c r="M3" s="72"/>
      <c r="N3" s="73"/>
      <c r="O3" s="79" t="s">
        <v>196</v>
      </c>
      <c r="P3" s="81">
        <v>44473.56878472222</v>
      </c>
      <c r="Q3" s="79" t="s">
        <v>508</v>
      </c>
      <c r="R3" s="84" t="str">
        <f>HYPERLINK("https://plantbasednews.org/lifestyle/food/cell-cultured-meat-could-hit-grocery-stores-in-next-5-years-predicts-expert/")</f>
        <v>https://plantbasednews.org/lifestyle/food/cell-cultured-meat-could-hit-grocery-stores-in-next-5-years-predicts-expert/</v>
      </c>
      <c r="S3" s="79" t="s">
        <v>529</v>
      </c>
      <c r="T3" s="79"/>
      <c r="U3" s="79"/>
      <c r="V3" s="84" t="str">
        <f>HYPERLINK("https://abs.twimg.com/sticky/default_profile_images/default_profile_normal.png")</f>
        <v>https://abs.twimg.com/sticky/default_profile_images/default_profile_normal.png</v>
      </c>
      <c r="W3" s="81">
        <v>44473.56878472222</v>
      </c>
      <c r="X3" s="86">
        <v>44473</v>
      </c>
      <c r="Y3" s="88" t="s">
        <v>750</v>
      </c>
      <c r="Z3" s="84" t="str">
        <f>HYPERLINK("https://twitter.com/sallypwynn/status/1445020643179778057")</f>
        <v>https://twitter.com/sallypwynn/status/1445020643179778057</v>
      </c>
      <c r="AA3" s="79"/>
      <c r="AB3" s="79"/>
      <c r="AC3" s="88" t="s">
        <v>937</v>
      </c>
      <c r="AD3" s="79"/>
      <c r="AE3" s="79" t="b">
        <v>0</v>
      </c>
      <c r="AF3" s="79">
        <v>0</v>
      </c>
      <c r="AG3" s="88" t="s">
        <v>952</v>
      </c>
      <c r="AH3" s="79" t="b">
        <v>0</v>
      </c>
      <c r="AI3" s="79" t="s">
        <v>967</v>
      </c>
      <c r="AJ3" s="79"/>
      <c r="AK3" s="88" t="s">
        <v>952</v>
      </c>
      <c r="AL3" s="79" t="b">
        <v>0</v>
      </c>
      <c r="AM3" s="79">
        <v>0</v>
      </c>
      <c r="AN3" s="88" t="s">
        <v>952</v>
      </c>
      <c r="AO3" s="88" t="s">
        <v>979</v>
      </c>
      <c r="AP3" s="79" t="b">
        <v>0</v>
      </c>
      <c r="AQ3" s="88" t="s">
        <v>937</v>
      </c>
      <c r="AR3" s="79" t="s">
        <v>196</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16</v>
      </c>
      <c r="BM3" s="50">
        <v>100</v>
      </c>
      <c r="BN3" s="49">
        <v>16</v>
      </c>
    </row>
    <row r="4" spans="1:66" ht="15" customHeight="1">
      <c r="A4" s="65" t="s">
        <v>234</v>
      </c>
      <c r="B4" s="65" t="s">
        <v>367</v>
      </c>
      <c r="C4" s="66" t="s">
        <v>2815</v>
      </c>
      <c r="D4" s="67">
        <v>3</v>
      </c>
      <c r="E4" s="66" t="s">
        <v>132</v>
      </c>
      <c r="F4" s="69">
        <v>32</v>
      </c>
      <c r="G4" s="66"/>
      <c r="H4" s="70"/>
      <c r="I4" s="71"/>
      <c r="J4" s="71"/>
      <c r="K4" s="35" t="s">
        <v>65</v>
      </c>
      <c r="L4" s="72">
        <v>4</v>
      </c>
      <c r="M4" s="72"/>
      <c r="N4" s="73"/>
      <c r="O4" s="80" t="s">
        <v>406</v>
      </c>
      <c r="P4" s="82">
        <v>44473.645949074074</v>
      </c>
      <c r="Q4" s="80" t="s">
        <v>410</v>
      </c>
      <c r="R4" s="80"/>
      <c r="S4" s="80"/>
      <c r="T4" s="80"/>
      <c r="U4" s="80"/>
      <c r="V4" s="85" t="str">
        <f>HYPERLINK("https://pbs.twimg.com/profile_images/1336341461307047936/cVJ9-DD6_normal.jpg")</f>
        <v>https://pbs.twimg.com/profile_images/1336341461307047936/cVJ9-DD6_normal.jpg</v>
      </c>
      <c r="W4" s="82">
        <v>44473.645949074074</v>
      </c>
      <c r="X4" s="87">
        <v>44473</v>
      </c>
      <c r="Y4" s="83" t="s">
        <v>568</v>
      </c>
      <c r="Z4" s="85" t="str">
        <f>HYPERLINK("https://twitter.com/plantfinance/status/1445048608781340678")</f>
        <v>https://twitter.com/plantfinance/status/1445048608781340678</v>
      </c>
      <c r="AA4" s="80"/>
      <c r="AB4" s="80"/>
      <c r="AC4" s="83" t="s">
        <v>751</v>
      </c>
      <c r="AD4" s="80"/>
      <c r="AE4" s="80" t="b">
        <v>0</v>
      </c>
      <c r="AF4" s="80">
        <v>1</v>
      </c>
      <c r="AG4" s="83" t="s">
        <v>952</v>
      </c>
      <c r="AH4" s="80" t="b">
        <v>0</v>
      </c>
      <c r="AI4" s="80" t="s">
        <v>967</v>
      </c>
      <c r="AJ4" s="80"/>
      <c r="AK4" s="83" t="s">
        <v>952</v>
      </c>
      <c r="AL4" s="80" t="b">
        <v>0</v>
      </c>
      <c r="AM4" s="80">
        <v>1</v>
      </c>
      <c r="AN4" s="83" t="s">
        <v>952</v>
      </c>
      <c r="AO4" s="83" t="s">
        <v>972</v>
      </c>
      <c r="AP4" s="80" t="b">
        <v>0</v>
      </c>
      <c r="AQ4" s="83" t="s">
        <v>751</v>
      </c>
      <c r="AR4" s="80" t="s">
        <v>196</v>
      </c>
      <c r="AS4" s="80">
        <v>0</v>
      </c>
      <c r="AT4" s="80">
        <v>0</v>
      </c>
      <c r="AU4" s="80"/>
      <c r="AV4" s="80"/>
      <c r="AW4" s="80"/>
      <c r="AX4" s="80"/>
      <c r="AY4" s="80"/>
      <c r="AZ4" s="80"/>
      <c r="BA4" s="80"/>
      <c r="BB4" s="80"/>
      <c r="BC4">
        <v>1</v>
      </c>
      <c r="BD4" s="79" t="str">
        <f>REPLACE(INDEX(GroupVertices[Group],MATCH(Edges[[#This Row],[Vertex 1]],GroupVertices[Vertex],0)),1,1,"")</f>
        <v>16</v>
      </c>
      <c r="BE4" s="79" t="str">
        <f>REPLACE(INDEX(GroupVertices[Group],MATCH(Edges[[#This Row],[Vertex 2]],GroupVertices[Vertex],0)),1,1,"")</f>
        <v>16</v>
      </c>
      <c r="BF4" s="49">
        <v>1</v>
      </c>
      <c r="BG4" s="50">
        <v>2.2222222222222223</v>
      </c>
      <c r="BH4" s="49">
        <v>0</v>
      </c>
      <c r="BI4" s="50">
        <v>0</v>
      </c>
      <c r="BJ4" s="49">
        <v>0</v>
      </c>
      <c r="BK4" s="50">
        <v>0</v>
      </c>
      <c r="BL4" s="49">
        <v>44</v>
      </c>
      <c r="BM4" s="50">
        <v>97.77777777777777</v>
      </c>
      <c r="BN4" s="49">
        <v>45</v>
      </c>
    </row>
    <row r="5" spans="1:66" ht="15">
      <c r="A5" s="65" t="s">
        <v>235</v>
      </c>
      <c r="B5" s="65" t="s">
        <v>367</v>
      </c>
      <c r="C5" s="66" t="s">
        <v>2815</v>
      </c>
      <c r="D5" s="67">
        <v>3</v>
      </c>
      <c r="E5" s="66" t="s">
        <v>132</v>
      </c>
      <c r="F5" s="69">
        <v>32</v>
      </c>
      <c r="G5" s="66"/>
      <c r="H5" s="70"/>
      <c r="I5" s="71"/>
      <c r="J5" s="71"/>
      <c r="K5" s="35" t="s">
        <v>65</v>
      </c>
      <c r="L5" s="72">
        <v>5</v>
      </c>
      <c r="M5" s="72"/>
      <c r="N5" s="73"/>
      <c r="O5" s="80" t="s">
        <v>407</v>
      </c>
      <c r="P5" s="82">
        <v>44473.666400462964</v>
      </c>
      <c r="Q5" s="80" t="s">
        <v>410</v>
      </c>
      <c r="R5" s="80"/>
      <c r="S5" s="80"/>
      <c r="T5" s="80"/>
      <c r="U5" s="80"/>
      <c r="V5" s="85" t="str">
        <f>HYPERLINK("https://pbs.twimg.com/profile_images/648533275934261248/Qv9_WLuZ_normal.jpg")</f>
        <v>https://pbs.twimg.com/profile_images/648533275934261248/Qv9_WLuZ_normal.jpg</v>
      </c>
      <c r="W5" s="82">
        <v>44473.666400462964</v>
      </c>
      <c r="X5" s="87">
        <v>44473</v>
      </c>
      <c r="Y5" s="83" t="s">
        <v>569</v>
      </c>
      <c r="Z5" s="85" t="str">
        <f>HYPERLINK("https://twitter.com/jeremyszafron/status/1445056021060194307")</f>
        <v>https://twitter.com/jeremyszafron/status/1445056021060194307</v>
      </c>
      <c r="AA5" s="80"/>
      <c r="AB5" s="80"/>
      <c r="AC5" s="83" t="s">
        <v>752</v>
      </c>
      <c r="AD5" s="80"/>
      <c r="AE5" s="80" t="b">
        <v>0</v>
      </c>
      <c r="AF5" s="80">
        <v>0</v>
      </c>
      <c r="AG5" s="83" t="s">
        <v>952</v>
      </c>
      <c r="AH5" s="80" t="b">
        <v>0</v>
      </c>
      <c r="AI5" s="80" t="s">
        <v>967</v>
      </c>
      <c r="AJ5" s="80"/>
      <c r="AK5" s="83" t="s">
        <v>952</v>
      </c>
      <c r="AL5" s="80" t="b">
        <v>0</v>
      </c>
      <c r="AM5" s="80">
        <v>1</v>
      </c>
      <c r="AN5" s="83" t="s">
        <v>751</v>
      </c>
      <c r="AO5" s="83" t="s">
        <v>972</v>
      </c>
      <c r="AP5" s="80" t="b">
        <v>0</v>
      </c>
      <c r="AQ5" s="83" t="s">
        <v>751</v>
      </c>
      <c r="AR5" s="80" t="s">
        <v>196</v>
      </c>
      <c r="AS5" s="80">
        <v>0</v>
      </c>
      <c r="AT5" s="80">
        <v>0</v>
      </c>
      <c r="AU5" s="80"/>
      <c r="AV5" s="80"/>
      <c r="AW5" s="80"/>
      <c r="AX5" s="80"/>
      <c r="AY5" s="80"/>
      <c r="AZ5" s="80"/>
      <c r="BA5" s="80"/>
      <c r="BB5" s="80"/>
      <c r="BC5">
        <v>1</v>
      </c>
      <c r="BD5" s="79" t="str">
        <f>REPLACE(INDEX(GroupVertices[Group],MATCH(Edges[[#This Row],[Vertex 1]],GroupVertices[Vertex],0)),1,1,"")</f>
        <v>16</v>
      </c>
      <c r="BE5" s="79" t="str">
        <f>REPLACE(INDEX(GroupVertices[Group],MATCH(Edges[[#This Row],[Vertex 2]],GroupVertices[Vertex],0)),1,1,"")</f>
        <v>16</v>
      </c>
      <c r="BF5" s="49"/>
      <c r="BG5" s="50"/>
      <c r="BH5" s="49"/>
      <c r="BI5" s="50"/>
      <c r="BJ5" s="49"/>
      <c r="BK5" s="50"/>
      <c r="BL5" s="49"/>
      <c r="BM5" s="50"/>
      <c r="BN5" s="49"/>
    </row>
    <row r="6" spans="1:66" ht="15">
      <c r="A6" s="65" t="s">
        <v>235</v>
      </c>
      <c r="B6" s="65" t="s">
        <v>234</v>
      </c>
      <c r="C6" s="66" t="s">
        <v>2815</v>
      </c>
      <c r="D6" s="67">
        <v>3</v>
      </c>
      <c r="E6" s="66" t="s">
        <v>132</v>
      </c>
      <c r="F6" s="69">
        <v>32</v>
      </c>
      <c r="G6" s="66"/>
      <c r="H6" s="70"/>
      <c r="I6" s="71"/>
      <c r="J6" s="71"/>
      <c r="K6" s="35" t="s">
        <v>65</v>
      </c>
      <c r="L6" s="72">
        <v>6</v>
      </c>
      <c r="M6" s="72"/>
      <c r="N6" s="73"/>
      <c r="O6" s="80" t="s">
        <v>408</v>
      </c>
      <c r="P6" s="82">
        <v>44473.666400462964</v>
      </c>
      <c r="Q6" s="80" t="s">
        <v>410</v>
      </c>
      <c r="R6" s="80"/>
      <c r="S6" s="80"/>
      <c r="T6" s="80"/>
      <c r="U6" s="80"/>
      <c r="V6" s="85" t="str">
        <f>HYPERLINK("https://pbs.twimg.com/profile_images/648533275934261248/Qv9_WLuZ_normal.jpg")</f>
        <v>https://pbs.twimg.com/profile_images/648533275934261248/Qv9_WLuZ_normal.jpg</v>
      </c>
      <c r="W6" s="82">
        <v>44473.666400462964</v>
      </c>
      <c r="X6" s="87">
        <v>44473</v>
      </c>
      <c r="Y6" s="83" t="s">
        <v>569</v>
      </c>
      <c r="Z6" s="85" t="str">
        <f>HYPERLINK("https://twitter.com/jeremyszafron/status/1445056021060194307")</f>
        <v>https://twitter.com/jeremyszafron/status/1445056021060194307</v>
      </c>
      <c r="AA6" s="80"/>
      <c r="AB6" s="80"/>
      <c r="AC6" s="83" t="s">
        <v>752</v>
      </c>
      <c r="AD6" s="80"/>
      <c r="AE6" s="80" t="b">
        <v>0</v>
      </c>
      <c r="AF6" s="80">
        <v>0</v>
      </c>
      <c r="AG6" s="83" t="s">
        <v>952</v>
      </c>
      <c r="AH6" s="80" t="b">
        <v>0</v>
      </c>
      <c r="AI6" s="80" t="s">
        <v>967</v>
      </c>
      <c r="AJ6" s="80"/>
      <c r="AK6" s="83" t="s">
        <v>952</v>
      </c>
      <c r="AL6" s="80" t="b">
        <v>0</v>
      </c>
      <c r="AM6" s="80">
        <v>1</v>
      </c>
      <c r="AN6" s="83" t="s">
        <v>751</v>
      </c>
      <c r="AO6" s="83" t="s">
        <v>972</v>
      </c>
      <c r="AP6" s="80" t="b">
        <v>0</v>
      </c>
      <c r="AQ6" s="83" t="s">
        <v>751</v>
      </c>
      <c r="AR6" s="80" t="s">
        <v>196</v>
      </c>
      <c r="AS6" s="80">
        <v>0</v>
      </c>
      <c r="AT6" s="80">
        <v>0</v>
      </c>
      <c r="AU6" s="80"/>
      <c r="AV6" s="80"/>
      <c r="AW6" s="80"/>
      <c r="AX6" s="80"/>
      <c r="AY6" s="80"/>
      <c r="AZ6" s="80"/>
      <c r="BA6" s="80"/>
      <c r="BB6" s="80"/>
      <c r="BC6">
        <v>1</v>
      </c>
      <c r="BD6" s="79" t="str">
        <f>REPLACE(INDEX(GroupVertices[Group],MATCH(Edges[[#This Row],[Vertex 1]],GroupVertices[Vertex],0)),1,1,"")</f>
        <v>16</v>
      </c>
      <c r="BE6" s="79" t="str">
        <f>REPLACE(INDEX(GroupVertices[Group],MATCH(Edges[[#This Row],[Vertex 2]],GroupVertices[Vertex],0)),1,1,"")</f>
        <v>16</v>
      </c>
      <c r="BF6" s="49">
        <v>1</v>
      </c>
      <c r="BG6" s="50">
        <v>2.2222222222222223</v>
      </c>
      <c r="BH6" s="49">
        <v>0</v>
      </c>
      <c r="BI6" s="50">
        <v>0</v>
      </c>
      <c r="BJ6" s="49">
        <v>0</v>
      </c>
      <c r="BK6" s="50">
        <v>0</v>
      </c>
      <c r="BL6" s="49">
        <v>44</v>
      </c>
      <c r="BM6" s="50">
        <v>97.77777777777777</v>
      </c>
      <c r="BN6" s="49">
        <v>45</v>
      </c>
    </row>
    <row r="7" spans="1:66" ht="15">
      <c r="A7" s="65" t="s">
        <v>236</v>
      </c>
      <c r="B7" s="65" t="s">
        <v>368</v>
      </c>
      <c r="C7" s="66" t="s">
        <v>2815</v>
      </c>
      <c r="D7" s="67">
        <v>3</v>
      </c>
      <c r="E7" s="66" t="s">
        <v>132</v>
      </c>
      <c r="F7" s="69">
        <v>32</v>
      </c>
      <c r="G7" s="66"/>
      <c r="H7" s="70"/>
      <c r="I7" s="71"/>
      <c r="J7" s="71"/>
      <c r="K7" s="35" t="s">
        <v>65</v>
      </c>
      <c r="L7" s="72">
        <v>7</v>
      </c>
      <c r="M7" s="72"/>
      <c r="N7" s="73"/>
      <c r="O7" s="80" t="s">
        <v>409</v>
      </c>
      <c r="P7" s="82">
        <v>44473.681979166664</v>
      </c>
      <c r="Q7" s="80" t="s">
        <v>411</v>
      </c>
      <c r="R7" s="85" t="str">
        <f>HYPERLINK("https://www.motherjones.com/food/2021/08/is-lab-meat-about-to-hit-your-dinner-plate/")</f>
        <v>https://www.motherjones.com/food/2021/08/is-lab-meat-about-to-hit-your-dinner-plate/</v>
      </c>
      <c r="S7" s="80" t="s">
        <v>512</v>
      </c>
      <c r="T7" s="80"/>
      <c r="U7" s="80"/>
      <c r="V7" s="85" t="str">
        <f>HYPERLINK("https://pbs.twimg.com/profile_images/1440117577603108868/mjjvO7pt_normal.jpg")</f>
        <v>https://pbs.twimg.com/profile_images/1440117577603108868/mjjvO7pt_normal.jpg</v>
      </c>
      <c r="W7" s="82">
        <v>44473.681979166664</v>
      </c>
      <c r="X7" s="87">
        <v>44473</v>
      </c>
      <c r="Y7" s="83" t="s">
        <v>570</v>
      </c>
      <c r="Z7" s="85" t="str">
        <f>HYPERLINK("https://twitter.com/michelersimon/status/1445061663049224198")</f>
        <v>https://twitter.com/michelersimon/status/1445061663049224198</v>
      </c>
      <c r="AA7" s="80"/>
      <c r="AB7" s="80"/>
      <c r="AC7" s="83" t="s">
        <v>753</v>
      </c>
      <c r="AD7" s="83" t="s">
        <v>938</v>
      </c>
      <c r="AE7" s="80" t="b">
        <v>0</v>
      </c>
      <c r="AF7" s="80">
        <v>1</v>
      </c>
      <c r="AG7" s="83" t="s">
        <v>953</v>
      </c>
      <c r="AH7" s="80" t="b">
        <v>0</v>
      </c>
      <c r="AI7" s="80" t="s">
        <v>967</v>
      </c>
      <c r="AJ7" s="80"/>
      <c r="AK7" s="83" t="s">
        <v>952</v>
      </c>
      <c r="AL7" s="80" t="b">
        <v>0</v>
      </c>
      <c r="AM7" s="80">
        <v>0</v>
      </c>
      <c r="AN7" s="83" t="s">
        <v>952</v>
      </c>
      <c r="AO7" s="83" t="s">
        <v>972</v>
      </c>
      <c r="AP7" s="80" t="b">
        <v>0</v>
      </c>
      <c r="AQ7" s="83" t="s">
        <v>938</v>
      </c>
      <c r="AR7" s="80" t="s">
        <v>196</v>
      </c>
      <c r="AS7" s="80">
        <v>0</v>
      </c>
      <c r="AT7" s="80">
        <v>0</v>
      </c>
      <c r="AU7" s="80"/>
      <c r="AV7" s="80"/>
      <c r="AW7" s="80"/>
      <c r="AX7" s="80"/>
      <c r="AY7" s="80"/>
      <c r="AZ7" s="80"/>
      <c r="BA7" s="80"/>
      <c r="BB7" s="80"/>
      <c r="BC7">
        <v>1</v>
      </c>
      <c r="BD7" s="79" t="str">
        <f>REPLACE(INDEX(GroupVertices[Group],MATCH(Edges[[#This Row],[Vertex 1]],GroupVertices[Vertex],0)),1,1,"")</f>
        <v>28</v>
      </c>
      <c r="BE7" s="79" t="str">
        <f>REPLACE(INDEX(GroupVertices[Group],MATCH(Edges[[#This Row],[Vertex 2]],GroupVertices[Vertex],0)),1,1,"")</f>
        <v>28</v>
      </c>
      <c r="BF7" s="49">
        <v>0</v>
      </c>
      <c r="BG7" s="50">
        <v>0</v>
      </c>
      <c r="BH7" s="49">
        <v>0</v>
      </c>
      <c r="BI7" s="50">
        <v>0</v>
      </c>
      <c r="BJ7" s="49">
        <v>0</v>
      </c>
      <c r="BK7" s="50">
        <v>0</v>
      </c>
      <c r="BL7" s="49">
        <v>31</v>
      </c>
      <c r="BM7" s="50">
        <v>100</v>
      </c>
      <c r="BN7" s="49">
        <v>31</v>
      </c>
    </row>
    <row r="8" spans="1:66" ht="15">
      <c r="A8" s="65" t="s">
        <v>237</v>
      </c>
      <c r="B8" s="65" t="s">
        <v>258</v>
      </c>
      <c r="C8" s="66" t="s">
        <v>2815</v>
      </c>
      <c r="D8" s="67">
        <v>3</v>
      </c>
      <c r="E8" s="66" t="s">
        <v>132</v>
      </c>
      <c r="F8" s="69">
        <v>32</v>
      </c>
      <c r="G8" s="66"/>
      <c r="H8" s="70"/>
      <c r="I8" s="71"/>
      <c r="J8" s="71"/>
      <c r="K8" s="35" t="s">
        <v>65</v>
      </c>
      <c r="L8" s="72">
        <v>8</v>
      </c>
      <c r="M8" s="72"/>
      <c r="N8" s="73"/>
      <c r="O8" s="80" t="s">
        <v>406</v>
      </c>
      <c r="P8" s="82">
        <v>44473.75146990741</v>
      </c>
      <c r="Q8" s="80" t="s">
        <v>412</v>
      </c>
      <c r="R8" s="85" t="str">
        <f>HYPERLINK("https://gfi.org/blog/cultivated-meat-a-growing-nomenclature-consensus/")</f>
        <v>https://gfi.org/blog/cultivated-meat-a-growing-nomenclature-consensus/</v>
      </c>
      <c r="S8" s="80" t="s">
        <v>513</v>
      </c>
      <c r="T8" s="80"/>
      <c r="U8" s="80"/>
      <c r="V8" s="85" t="str">
        <f>HYPERLINK("https://pbs.twimg.com/profile_images/1438764765548093442/1FYO4i0I_normal.jpg")</f>
        <v>https://pbs.twimg.com/profile_images/1438764765548093442/1FYO4i0I_normal.jpg</v>
      </c>
      <c r="W8" s="82">
        <v>44473.75146990741</v>
      </c>
      <c r="X8" s="87">
        <v>44473</v>
      </c>
      <c r="Y8" s="83" t="s">
        <v>571</v>
      </c>
      <c r="Z8" s="85" t="str">
        <f>HYPERLINK("https://twitter.com/foodpreneurscom/status/1445086845944090627")</f>
        <v>https://twitter.com/foodpreneurscom/status/1445086845944090627</v>
      </c>
      <c r="AA8" s="80"/>
      <c r="AB8" s="80"/>
      <c r="AC8" s="83" t="s">
        <v>754</v>
      </c>
      <c r="AD8" s="80"/>
      <c r="AE8" s="80" t="b">
        <v>0</v>
      </c>
      <c r="AF8" s="80">
        <v>0</v>
      </c>
      <c r="AG8" s="83" t="s">
        <v>952</v>
      </c>
      <c r="AH8" s="80" t="b">
        <v>0</v>
      </c>
      <c r="AI8" s="80" t="s">
        <v>967</v>
      </c>
      <c r="AJ8" s="80"/>
      <c r="AK8" s="83" t="s">
        <v>952</v>
      </c>
      <c r="AL8" s="80" t="b">
        <v>0</v>
      </c>
      <c r="AM8" s="80">
        <v>0</v>
      </c>
      <c r="AN8" s="83" t="s">
        <v>952</v>
      </c>
      <c r="AO8" s="83" t="s">
        <v>973</v>
      </c>
      <c r="AP8" s="80" t="b">
        <v>0</v>
      </c>
      <c r="AQ8" s="83" t="s">
        <v>754</v>
      </c>
      <c r="AR8" s="80" t="s">
        <v>196</v>
      </c>
      <c r="AS8" s="80">
        <v>0</v>
      </c>
      <c r="AT8" s="80">
        <v>0</v>
      </c>
      <c r="AU8" s="80"/>
      <c r="AV8" s="80"/>
      <c r="AW8" s="80"/>
      <c r="AX8" s="80"/>
      <c r="AY8" s="80"/>
      <c r="AZ8" s="80"/>
      <c r="BA8" s="80"/>
      <c r="BB8" s="80"/>
      <c r="BC8">
        <v>1</v>
      </c>
      <c r="BD8" s="79" t="str">
        <f>REPLACE(INDEX(GroupVertices[Group],MATCH(Edges[[#This Row],[Vertex 1]],GroupVertices[Vertex],0)),1,1,"")</f>
        <v>5</v>
      </c>
      <c r="BE8" s="79" t="str">
        <f>REPLACE(INDEX(GroupVertices[Group],MATCH(Edges[[#This Row],[Vertex 2]],GroupVertices[Vertex],0)),1,1,"")</f>
        <v>5</v>
      </c>
      <c r="BF8" s="49">
        <v>1</v>
      </c>
      <c r="BG8" s="50">
        <v>3.4482758620689653</v>
      </c>
      <c r="BH8" s="49">
        <v>0</v>
      </c>
      <c r="BI8" s="50">
        <v>0</v>
      </c>
      <c r="BJ8" s="49">
        <v>0</v>
      </c>
      <c r="BK8" s="50">
        <v>0</v>
      </c>
      <c r="BL8" s="49">
        <v>28</v>
      </c>
      <c r="BM8" s="50">
        <v>96.55172413793103</v>
      </c>
      <c r="BN8" s="49">
        <v>29</v>
      </c>
    </row>
    <row r="9" spans="1:66" ht="15">
      <c r="A9" s="65" t="s">
        <v>238</v>
      </c>
      <c r="B9" s="65" t="s">
        <v>258</v>
      </c>
      <c r="C9" s="66" t="s">
        <v>2815</v>
      </c>
      <c r="D9" s="67">
        <v>3</v>
      </c>
      <c r="E9" s="66" t="s">
        <v>132</v>
      </c>
      <c r="F9" s="69">
        <v>32</v>
      </c>
      <c r="G9" s="66"/>
      <c r="H9" s="70"/>
      <c r="I9" s="71"/>
      <c r="J9" s="71"/>
      <c r="K9" s="35" t="s">
        <v>65</v>
      </c>
      <c r="L9" s="72">
        <v>9</v>
      </c>
      <c r="M9" s="72"/>
      <c r="N9" s="73"/>
      <c r="O9" s="80" t="s">
        <v>406</v>
      </c>
      <c r="P9" s="82">
        <v>44470.68019675926</v>
      </c>
      <c r="Q9" s="80" t="s">
        <v>413</v>
      </c>
      <c r="R9" s="85" t="str">
        <f>HYPERLINK("https://www.fooddive.com/news/75-of-cell-based-meat-companies-prefer-the-term-cultivated-for-their-pro/607500/")</f>
        <v>https://www.fooddive.com/news/75-of-cell-based-meat-companies-prefer-the-term-cultivated-for-their-pro/607500/</v>
      </c>
      <c r="S9" s="80" t="s">
        <v>514</v>
      </c>
      <c r="T9" s="80"/>
      <c r="U9" s="80"/>
      <c r="V9" s="85" t="str">
        <f>HYPERLINK("https://pbs.twimg.com/profile_images/728252706851147776/3hDM_UHX_normal.jpg")</f>
        <v>https://pbs.twimg.com/profile_images/728252706851147776/3hDM_UHX_normal.jpg</v>
      </c>
      <c r="W9" s="82">
        <v>44470.68019675926</v>
      </c>
      <c r="X9" s="87">
        <v>44470</v>
      </c>
      <c r="Y9" s="83" t="s">
        <v>572</v>
      </c>
      <c r="Z9" s="85" t="str">
        <f>HYPERLINK("https://twitter.com/meganpoinski/status/1443973856335732757")</f>
        <v>https://twitter.com/meganpoinski/status/1443973856335732757</v>
      </c>
      <c r="AA9" s="80"/>
      <c r="AB9" s="80"/>
      <c r="AC9" s="83" t="s">
        <v>755</v>
      </c>
      <c r="AD9" s="80"/>
      <c r="AE9" s="80" t="b">
        <v>0</v>
      </c>
      <c r="AF9" s="80">
        <v>15</v>
      </c>
      <c r="AG9" s="83" t="s">
        <v>952</v>
      </c>
      <c r="AH9" s="80" t="b">
        <v>0</v>
      </c>
      <c r="AI9" s="80" t="s">
        <v>967</v>
      </c>
      <c r="AJ9" s="80"/>
      <c r="AK9" s="83" t="s">
        <v>952</v>
      </c>
      <c r="AL9" s="80" t="b">
        <v>0</v>
      </c>
      <c r="AM9" s="80">
        <v>6</v>
      </c>
      <c r="AN9" s="83" t="s">
        <v>952</v>
      </c>
      <c r="AO9" s="83" t="s">
        <v>972</v>
      </c>
      <c r="AP9" s="80" t="b">
        <v>0</v>
      </c>
      <c r="AQ9" s="83" t="s">
        <v>755</v>
      </c>
      <c r="AR9" s="80" t="s">
        <v>408</v>
      </c>
      <c r="AS9" s="80">
        <v>0</v>
      </c>
      <c r="AT9" s="80">
        <v>0</v>
      </c>
      <c r="AU9" s="80"/>
      <c r="AV9" s="80"/>
      <c r="AW9" s="80"/>
      <c r="AX9" s="80"/>
      <c r="AY9" s="80"/>
      <c r="AZ9" s="80"/>
      <c r="BA9" s="80"/>
      <c r="BB9" s="80"/>
      <c r="BC9">
        <v>1</v>
      </c>
      <c r="BD9" s="79" t="str">
        <f>REPLACE(INDEX(GroupVertices[Group],MATCH(Edges[[#This Row],[Vertex 1]],GroupVertices[Vertex],0)),1,1,"")</f>
        <v>5</v>
      </c>
      <c r="BE9" s="79" t="str">
        <f>REPLACE(INDEX(GroupVertices[Group],MATCH(Edges[[#This Row],[Vertex 2]],GroupVertices[Vertex],0)),1,1,"")</f>
        <v>5</v>
      </c>
      <c r="BF9" s="49">
        <v>0</v>
      </c>
      <c r="BG9" s="50">
        <v>0</v>
      </c>
      <c r="BH9" s="49">
        <v>0</v>
      </c>
      <c r="BI9" s="50">
        <v>0</v>
      </c>
      <c r="BJ9" s="49">
        <v>0</v>
      </c>
      <c r="BK9" s="50">
        <v>0</v>
      </c>
      <c r="BL9" s="49">
        <v>24</v>
      </c>
      <c r="BM9" s="50">
        <v>100</v>
      </c>
      <c r="BN9" s="49">
        <v>24</v>
      </c>
    </row>
    <row r="10" spans="1:66" ht="15">
      <c r="A10" s="65" t="s">
        <v>239</v>
      </c>
      <c r="B10" s="65" t="s">
        <v>238</v>
      </c>
      <c r="C10" s="66" t="s">
        <v>2815</v>
      </c>
      <c r="D10" s="67">
        <v>3</v>
      </c>
      <c r="E10" s="66" t="s">
        <v>132</v>
      </c>
      <c r="F10" s="69">
        <v>32</v>
      </c>
      <c r="G10" s="66"/>
      <c r="H10" s="70"/>
      <c r="I10" s="71"/>
      <c r="J10" s="71"/>
      <c r="K10" s="35" t="s">
        <v>65</v>
      </c>
      <c r="L10" s="72">
        <v>10</v>
      </c>
      <c r="M10" s="72"/>
      <c r="N10" s="73"/>
      <c r="O10" s="80" t="s">
        <v>408</v>
      </c>
      <c r="P10" s="82">
        <v>44473.7690162037</v>
      </c>
      <c r="Q10" s="80" t="s">
        <v>413</v>
      </c>
      <c r="R10" s="85" t="str">
        <f>HYPERLINK("https://www.fooddive.com/news/75-of-cell-based-meat-companies-prefer-the-term-cultivated-for-their-pro/607500/")</f>
        <v>https://www.fooddive.com/news/75-of-cell-based-meat-companies-prefer-the-term-cultivated-for-their-pro/607500/</v>
      </c>
      <c r="S10" s="80" t="s">
        <v>514</v>
      </c>
      <c r="T10" s="80"/>
      <c r="U10" s="80"/>
      <c r="V10" s="85" t="str">
        <f>HYPERLINK("https://pbs.twimg.com/profile_images/1427725871834566662/N7pMCmBv_normal.jpg")</f>
        <v>https://pbs.twimg.com/profile_images/1427725871834566662/N7pMCmBv_normal.jpg</v>
      </c>
      <c r="W10" s="82">
        <v>44473.7690162037</v>
      </c>
      <c r="X10" s="87">
        <v>44473</v>
      </c>
      <c r="Y10" s="83" t="s">
        <v>573</v>
      </c>
      <c r="Z10" s="85" t="str">
        <f>HYPERLINK("https://twitter.com/welllibrarian/status/1445093207499362312")</f>
        <v>https://twitter.com/welllibrarian/status/1445093207499362312</v>
      </c>
      <c r="AA10" s="80"/>
      <c r="AB10" s="80"/>
      <c r="AC10" s="83" t="s">
        <v>756</v>
      </c>
      <c r="AD10" s="80"/>
      <c r="AE10" s="80" t="b">
        <v>0</v>
      </c>
      <c r="AF10" s="80">
        <v>0</v>
      </c>
      <c r="AG10" s="83" t="s">
        <v>952</v>
      </c>
      <c r="AH10" s="80" t="b">
        <v>0</v>
      </c>
      <c r="AI10" s="80" t="s">
        <v>967</v>
      </c>
      <c r="AJ10" s="80"/>
      <c r="AK10" s="83" t="s">
        <v>952</v>
      </c>
      <c r="AL10" s="80" t="b">
        <v>0</v>
      </c>
      <c r="AM10" s="80">
        <v>6</v>
      </c>
      <c r="AN10" s="83" t="s">
        <v>755</v>
      </c>
      <c r="AO10" s="83" t="s">
        <v>972</v>
      </c>
      <c r="AP10" s="80" t="b">
        <v>0</v>
      </c>
      <c r="AQ10" s="83" t="s">
        <v>755</v>
      </c>
      <c r="AR10" s="80" t="s">
        <v>196</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239</v>
      </c>
      <c r="B11" s="65" t="s">
        <v>258</v>
      </c>
      <c r="C11" s="66" t="s">
        <v>2815</v>
      </c>
      <c r="D11" s="67">
        <v>3</v>
      </c>
      <c r="E11" s="66" t="s">
        <v>132</v>
      </c>
      <c r="F11" s="69">
        <v>32</v>
      </c>
      <c r="G11" s="66"/>
      <c r="H11" s="70"/>
      <c r="I11" s="71"/>
      <c r="J11" s="71"/>
      <c r="K11" s="35" t="s">
        <v>65</v>
      </c>
      <c r="L11" s="72">
        <v>11</v>
      </c>
      <c r="M11" s="72"/>
      <c r="N11" s="73"/>
      <c r="O11" s="80" t="s">
        <v>407</v>
      </c>
      <c r="P11" s="82">
        <v>44473.7690162037</v>
      </c>
      <c r="Q11" s="80" t="s">
        <v>413</v>
      </c>
      <c r="R11" s="85" t="str">
        <f>HYPERLINK("https://www.fooddive.com/news/75-of-cell-based-meat-companies-prefer-the-term-cultivated-for-their-pro/607500/")</f>
        <v>https://www.fooddive.com/news/75-of-cell-based-meat-companies-prefer-the-term-cultivated-for-their-pro/607500/</v>
      </c>
      <c r="S11" s="80" t="s">
        <v>514</v>
      </c>
      <c r="T11" s="80"/>
      <c r="U11" s="80"/>
      <c r="V11" s="85" t="str">
        <f>HYPERLINK("https://pbs.twimg.com/profile_images/1427725871834566662/N7pMCmBv_normal.jpg")</f>
        <v>https://pbs.twimg.com/profile_images/1427725871834566662/N7pMCmBv_normal.jpg</v>
      </c>
      <c r="W11" s="82">
        <v>44473.7690162037</v>
      </c>
      <c r="X11" s="87">
        <v>44473</v>
      </c>
      <c r="Y11" s="83" t="s">
        <v>573</v>
      </c>
      <c r="Z11" s="85" t="str">
        <f>HYPERLINK("https://twitter.com/welllibrarian/status/1445093207499362312")</f>
        <v>https://twitter.com/welllibrarian/status/1445093207499362312</v>
      </c>
      <c r="AA11" s="80"/>
      <c r="AB11" s="80"/>
      <c r="AC11" s="83" t="s">
        <v>756</v>
      </c>
      <c r="AD11" s="80"/>
      <c r="AE11" s="80" t="b">
        <v>0</v>
      </c>
      <c r="AF11" s="80">
        <v>0</v>
      </c>
      <c r="AG11" s="83" t="s">
        <v>952</v>
      </c>
      <c r="AH11" s="80" t="b">
        <v>0</v>
      </c>
      <c r="AI11" s="80" t="s">
        <v>967</v>
      </c>
      <c r="AJ11" s="80"/>
      <c r="AK11" s="83" t="s">
        <v>952</v>
      </c>
      <c r="AL11" s="80" t="b">
        <v>0</v>
      </c>
      <c r="AM11" s="80">
        <v>6</v>
      </c>
      <c r="AN11" s="83" t="s">
        <v>755</v>
      </c>
      <c r="AO11" s="83" t="s">
        <v>972</v>
      </c>
      <c r="AP11" s="80" t="b">
        <v>0</v>
      </c>
      <c r="AQ11" s="83" t="s">
        <v>755</v>
      </c>
      <c r="AR11" s="80" t="s">
        <v>196</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49">
        <v>0</v>
      </c>
      <c r="BG11" s="50">
        <v>0</v>
      </c>
      <c r="BH11" s="49">
        <v>0</v>
      </c>
      <c r="BI11" s="50">
        <v>0</v>
      </c>
      <c r="BJ11" s="49">
        <v>0</v>
      </c>
      <c r="BK11" s="50">
        <v>0</v>
      </c>
      <c r="BL11" s="49">
        <v>24</v>
      </c>
      <c r="BM11" s="50">
        <v>100</v>
      </c>
      <c r="BN11" s="49">
        <v>24</v>
      </c>
    </row>
    <row r="12" spans="1:66" ht="15">
      <c r="A12" s="65" t="s">
        <v>240</v>
      </c>
      <c r="B12" s="65" t="s">
        <v>240</v>
      </c>
      <c r="C12" s="66" t="s">
        <v>2815</v>
      </c>
      <c r="D12" s="67">
        <v>3</v>
      </c>
      <c r="E12" s="66" t="s">
        <v>132</v>
      </c>
      <c r="F12" s="69">
        <v>32</v>
      </c>
      <c r="G12" s="66"/>
      <c r="H12" s="70"/>
      <c r="I12" s="71"/>
      <c r="J12" s="71"/>
      <c r="K12" s="35" t="s">
        <v>65</v>
      </c>
      <c r="L12" s="72">
        <v>12</v>
      </c>
      <c r="M12" s="72"/>
      <c r="N12" s="73"/>
      <c r="O12" s="80" t="s">
        <v>196</v>
      </c>
      <c r="P12" s="82">
        <v>44473.77988425926</v>
      </c>
      <c r="Q12" s="80" t="s">
        <v>414</v>
      </c>
      <c r="R12" s="85" t="str">
        <f>HYPERLINK("https://www.meatpoultry.com/articles/25595-crowding-on-the-cell-based-bandwagon")</f>
        <v>https://www.meatpoultry.com/articles/25595-crowding-on-the-cell-based-bandwagon</v>
      </c>
      <c r="S12" s="80" t="s">
        <v>515</v>
      </c>
      <c r="T12" s="80"/>
      <c r="U12" s="80"/>
      <c r="V12" s="85" t="str">
        <f>HYPERLINK("https://pbs.twimg.com/profile_images/555855373924442112/9snXes6N_normal.jpeg")</f>
        <v>https://pbs.twimg.com/profile_images/555855373924442112/9snXes6N_normal.jpeg</v>
      </c>
      <c r="W12" s="82">
        <v>44473.77988425926</v>
      </c>
      <c r="X12" s="87">
        <v>44473</v>
      </c>
      <c r="Y12" s="83" t="s">
        <v>574</v>
      </c>
      <c r="Z12" s="85" t="str">
        <f>HYPERLINK("https://twitter.com/meatpoultry/status/1445097144151597060")</f>
        <v>https://twitter.com/meatpoultry/status/1445097144151597060</v>
      </c>
      <c r="AA12" s="80"/>
      <c r="AB12" s="80"/>
      <c r="AC12" s="83" t="s">
        <v>757</v>
      </c>
      <c r="AD12" s="80"/>
      <c r="AE12" s="80" t="b">
        <v>0</v>
      </c>
      <c r="AF12" s="80">
        <v>0</v>
      </c>
      <c r="AG12" s="83" t="s">
        <v>952</v>
      </c>
      <c r="AH12" s="80" t="b">
        <v>0</v>
      </c>
      <c r="AI12" s="80" t="s">
        <v>967</v>
      </c>
      <c r="AJ12" s="80"/>
      <c r="AK12" s="83" t="s">
        <v>952</v>
      </c>
      <c r="AL12" s="80" t="b">
        <v>0</v>
      </c>
      <c r="AM12" s="80">
        <v>0</v>
      </c>
      <c r="AN12" s="83" t="s">
        <v>952</v>
      </c>
      <c r="AO12" s="83" t="s">
        <v>972</v>
      </c>
      <c r="AP12" s="80" t="b">
        <v>0</v>
      </c>
      <c r="AQ12" s="83" t="s">
        <v>757</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9">
        <v>0</v>
      </c>
      <c r="BG12" s="50">
        <v>0</v>
      </c>
      <c r="BH12" s="49">
        <v>1</v>
      </c>
      <c r="BI12" s="50">
        <v>6.666666666666667</v>
      </c>
      <c r="BJ12" s="49">
        <v>0</v>
      </c>
      <c r="BK12" s="50">
        <v>0</v>
      </c>
      <c r="BL12" s="49">
        <v>14</v>
      </c>
      <c r="BM12" s="50">
        <v>93.33333333333333</v>
      </c>
      <c r="BN12" s="49">
        <v>15</v>
      </c>
    </row>
    <row r="13" spans="1:66" ht="15">
      <c r="A13" s="65" t="s">
        <v>241</v>
      </c>
      <c r="B13" s="65" t="s">
        <v>241</v>
      </c>
      <c r="C13" s="66" t="s">
        <v>2815</v>
      </c>
      <c r="D13" s="67">
        <v>3</v>
      </c>
      <c r="E13" s="66" t="s">
        <v>132</v>
      </c>
      <c r="F13" s="69">
        <v>32</v>
      </c>
      <c r="G13" s="66"/>
      <c r="H13" s="70"/>
      <c r="I13" s="71"/>
      <c r="J13" s="71"/>
      <c r="K13" s="35" t="s">
        <v>65</v>
      </c>
      <c r="L13" s="72">
        <v>13</v>
      </c>
      <c r="M13" s="72"/>
      <c r="N13" s="73"/>
      <c r="O13" s="80" t="s">
        <v>196</v>
      </c>
      <c r="P13" s="82">
        <v>44473.808854166666</v>
      </c>
      <c r="Q13" s="80" t="s">
        <v>415</v>
      </c>
      <c r="R13" s="85" t="str">
        <f>HYPERLINK("https://www.ecowatch.com/cell-based-food-climate-change-2649951865.html")</f>
        <v>https://www.ecowatch.com/cell-based-food-climate-change-2649951865.html</v>
      </c>
      <c r="S13" s="80" t="s">
        <v>516</v>
      </c>
      <c r="T13" s="80"/>
      <c r="U13" s="80"/>
      <c r="V13" s="85" t="str">
        <f>HYPERLINK("https://pbs.twimg.com/profile_images/1363238813808533505/lbI9GNLD_normal.jpg")</f>
        <v>https://pbs.twimg.com/profile_images/1363238813808533505/lbI9GNLD_normal.jpg</v>
      </c>
      <c r="W13" s="82">
        <v>44473.808854166666</v>
      </c>
      <c r="X13" s="87">
        <v>44473</v>
      </c>
      <c r="Y13" s="83" t="s">
        <v>575</v>
      </c>
      <c r="Z13" s="85" t="str">
        <f>HYPERLINK("https://twitter.com/b1allpurpose/status/1445107644310568978")</f>
        <v>https://twitter.com/b1allpurpose/status/1445107644310568978</v>
      </c>
      <c r="AA13" s="80"/>
      <c r="AB13" s="80"/>
      <c r="AC13" s="83" t="s">
        <v>758</v>
      </c>
      <c r="AD13" s="80"/>
      <c r="AE13" s="80" t="b">
        <v>0</v>
      </c>
      <c r="AF13" s="80">
        <v>0</v>
      </c>
      <c r="AG13" s="83" t="s">
        <v>952</v>
      </c>
      <c r="AH13" s="80" t="b">
        <v>0</v>
      </c>
      <c r="AI13" s="80" t="s">
        <v>967</v>
      </c>
      <c r="AJ13" s="80"/>
      <c r="AK13" s="83" t="s">
        <v>952</v>
      </c>
      <c r="AL13" s="80" t="b">
        <v>0</v>
      </c>
      <c r="AM13" s="80">
        <v>0</v>
      </c>
      <c r="AN13" s="83" t="s">
        <v>952</v>
      </c>
      <c r="AO13" s="83" t="s">
        <v>972</v>
      </c>
      <c r="AP13" s="80" t="b">
        <v>0</v>
      </c>
      <c r="AQ13" s="83" t="s">
        <v>758</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9">
        <v>1</v>
      </c>
      <c r="BG13" s="50">
        <v>3.7037037037037037</v>
      </c>
      <c r="BH13" s="49">
        <v>1</v>
      </c>
      <c r="BI13" s="50">
        <v>3.7037037037037037</v>
      </c>
      <c r="BJ13" s="49">
        <v>0</v>
      </c>
      <c r="BK13" s="50">
        <v>0</v>
      </c>
      <c r="BL13" s="49">
        <v>25</v>
      </c>
      <c r="BM13" s="50">
        <v>92.5925925925926</v>
      </c>
      <c r="BN13" s="49">
        <v>27</v>
      </c>
    </row>
    <row r="14" spans="1:66" ht="15">
      <c r="A14" s="65" t="s">
        <v>242</v>
      </c>
      <c r="B14" s="65" t="s">
        <v>242</v>
      </c>
      <c r="C14" s="66" t="s">
        <v>2815</v>
      </c>
      <c r="D14" s="67">
        <v>3</v>
      </c>
      <c r="E14" s="66" t="s">
        <v>132</v>
      </c>
      <c r="F14" s="69">
        <v>32</v>
      </c>
      <c r="G14" s="66"/>
      <c r="H14" s="70"/>
      <c r="I14" s="71"/>
      <c r="J14" s="71"/>
      <c r="K14" s="35" t="s">
        <v>65</v>
      </c>
      <c r="L14" s="72">
        <v>14</v>
      </c>
      <c r="M14" s="72"/>
      <c r="N14" s="73"/>
      <c r="O14" s="80" t="s">
        <v>196</v>
      </c>
      <c r="P14" s="82">
        <v>44473.99982638889</v>
      </c>
      <c r="Q14" s="80" t="s">
        <v>416</v>
      </c>
      <c r="R14" s="85" t="str">
        <f>HYPERLINK("https://www.fooddive.com/news/75-of-cell-based-meat-companies-prefer-the-term-cultivated-for-their-pro/607500/")</f>
        <v>https://www.fooddive.com/news/75-of-cell-based-meat-companies-prefer-the-term-cultivated-for-their-pro/607500/</v>
      </c>
      <c r="S14" s="80" t="s">
        <v>514</v>
      </c>
      <c r="T14" s="80"/>
      <c r="U14" s="80"/>
      <c r="V14" s="85" t="str">
        <f>HYPERLINK("https://pbs.twimg.com/profile_images/1099032399181217799/vPCULVTS_normal.png")</f>
        <v>https://pbs.twimg.com/profile_images/1099032399181217799/vPCULVTS_normal.png</v>
      </c>
      <c r="W14" s="82">
        <v>44473.99982638889</v>
      </c>
      <c r="X14" s="87">
        <v>44473</v>
      </c>
      <c r="Y14" s="83" t="s">
        <v>576</v>
      </c>
      <c r="Z14" s="85" t="str">
        <f>HYPERLINK("https://twitter.com/joshuamarch/status/1445176849340911617")</f>
        <v>https://twitter.com/joshuamarch/status/1445176849340911617</v>
      </c>
      <c r="AA14" s="80"/>
      <c r="AB14" s="80"/>
      <c r="AC14" s="83" t="s">
        <v>759</v>
      </c>
      <c r="AD14" s="80"/>
      <c r="AE14" s="80" t="b">
        <v>0</v>
      </c>
      <c r="AF14" s="80">
        <v>6</v>
      </c>
      <c r="AG14" s="83" t="s">
        <v>952</v>
      </c>
      <c r="AH14" s="80" t="b">
        <v>0</v>
      </c>
      <c r="AI14" s="80" t="s">
        <v>967</v>
      </c>
      <c r="AJ14" s="80"/>
      <c r="AK14" s="83" t="s">
        <v>952</v>
      </c>
      <c r="AL14" s="80" t="b">
        <v>0</v>
      </c>
      <c r="AM14" s="80">
        <v>0</v>
      </c>
      <c r="AN14" s="83" t="s">
        <v>952</v>
      </c>
      <c r="AO14" s="83" t="s">
        <v>972</v>
      </c>
      <c r="AP14" s="80" t="b">
        <v>0</v>
      </c>
      <c r="AQ14" s="83" t="s">
        <v>759</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9">
        <v>0</v>
      </c>
      <c r="BG14" s="50">
        <v>0</v>
      </c>
      <c r="BH14" s="49">
        <v>2</v>
      </c>
      <c r="BI14" s="50">
        <v>5.714285714285714</v>
      </c>
      <c r="BJ14" s="49">
        <v>0</v>
      </c>
      <c r="BK14" s="50">
        <v>0</v>
      </c>
      <c r="BL14" s="49">
        <v>33</v>
      </c>
      <c r="BM14" s="50">
        <v>94.28571428571429</v>
      </c>
      <c r="BN14" s="49">
        <v>35</v>
      </c>
    </row>
    <row r="15" spans="1:66" ht="15">
      <c r="A15" s="65" t="s">
        <v>243</v>
      </c>
      <c r="B15" s="65" t="s">
        <v>369</v>
      </c>
      <c r="C15" s="66" t="s">
        <v>2815</v>
      </c>
      <c r="D15" s="67">
        <v>3</v>
      </c>
      <c r="E15" s="66" t="s">
        <v>132</v>
      </c>
      <c r="F15" s="69">
        <v>32</v>
      </c>
      <c r="G15" s="66"/>
      <c r="H15" s="70"/>
      <c r="I15" s="71"/>
      <c r="J15" s="71"/>
      <c r="K15" s="35" t="s">
        <v>65</v>
      </c>
      <c r="L15" s="72">
        <v>15</v>
      </c>
      <c r="M15" s="72"/>
      <c r="N15" s="73"/>
      <c r="O15" s="80" t="s">
        <v>409</v>
      </c>
      <c r="P15" s="82">
        <v>44474.633738425924</v>
      </c>
      <c r="Q15" s="80" t="s">
        <v>417</v>
      </c>
      <c r="R15" s="85" t="str">
        <f>HYPERLINK("https://www.theguardian.com/environment/2020/dec/02/no-kill-lab-grown-meat-to-go-on-sale-for-first-time")</f>
        <v>https://www.theguardian.com/environment/2020/dec/02/no-kill-lab-grown-meat-to-go-on-sale-for-first-time</v>
      </c>
      <c r="S15" s="80" t="s">
        <v>517</v>
      </c>
      <c r="T15" s="80"/>
      <c r="U15" s="80"/>
      <c r="V15" s="85" t="str">
        <f>HYPERLINK("https://pbs.twimg.com/profile_images/1402397441979260928/d_CuOnwk_normal.jpg")</f>
        <v>https://pbs.twimg.com/profile_images/1402397441979260928/d_CuOnwk_normal.jpg</v>
      </c>
      <c r="W15" s="82">
        <v>44474.633738425924</v>
      </c>
      <c r="X15" s="87">
        <v>44474</v>
      </c>
      <c r="Y15" s="83" t="s">
        <v>577</v>
      </c>
      <c r="Z15" s="85" t="str">
        <f>HYPERLINK("https://twitter.com/chill_purr/status/1445406570817413120")</f>
        <v>https://twitter.com/chill_purr/status/1445406570817413120</v>
      </c>
      <c r="AA15" s="80"/>
      <c r="AB15" s="80"/>
      <c r="AC15" s="83" t="s">
        <v>760</v>
      </c>
      <c r="AD15" s="83" t="s">
        <v>939</v>
      </c>
      <c r="AE15" s="80" t="b">
        <v>0</v>
      </c>
      <c r="AF15" s="80">
        <v>0</v>
      </c>
      <c r="AG15" s="83" t="s">
        <v>954</v>
      </c>
      <c r="AH15" s="80" t="b">
        <v>0</v>
      </c>
      <c r="AI15" s="80" t="s">
        <v>967</v>
      </c>
      <c r="AJ15" s="80"/>
      <c r="AK15" s="83" t="s">
        <v>952</v>
      </c>
      <c r="AL15" s="80" t="b">
        <v>0</v>
      </c>
      <c r="AM15" s="80">
        <v>0</v>
      </c>
      <c r="AN15" s="83" t="s">
        <v>952</v>
      </c>
      <c r="AO15" s="83" t="s">
        <v>972</v>
      </c>
      <c r="AP15" s="80" t="b">
        <v>0</v>
      </c>
      <c r="AQ15" s="83" t="s">
        <v>939</v>
      </c>
      <c r="AR15" s="80" t="s">
        <v>196</v>
      </c>
      <c r="AS15" s="80">
        <v>0</v>
      </c>
      <c r="AT15" s="80">
        <v>0</v>
      </c>
      <c r="AU15" s="80"/>
      <c r="AV15" s="80"/>
      <c r="AW15" s="80"/>
      <c r="AX15" s="80"/>
      <c r="AY15" s="80"/>
      <c r="AZ15" s="80"/>
      <c r="BA15" s="80"/>
      <c r="BB15" s="80"/>
      <c r="BC15">
        <v>1</v>
      </c>
      <c r="BD15" s="79" t="str">
        <f>REPLACE(INDEX(GroupVertices[Group],MATCH(Edges[[#This Row],[Vertex 1]],GroupVertices[Vertex],0)),1,1,"")</f>
        <v>27</v>
      </c>
      <c r="BE15" s="79" t="str">
        <f>REPLACE(INDEX(GroupVertices[Group],MATCH(Edges[[#This Row],[Vertex 2]],GroupVertices[Vertex],0)),1,1,"")</f>
        <v>27</v>
      </c>
      <c r="BF15" s="49">
        <v>0</v>
      </c>
      <c r="BG15" s="50">
        <v>0</v>
      </c>
      <c r="BH15" s="49">
        <v>0</v>
      </c>
      <c r="BI15" s="50">
        <v>0</v>
      </c>
      <c r="BJ15" s="49">
        <v>0</v>
      </c>
      <c r="BK15" s="50">
        <v>0</v>
      </c>
      <c r="BL15" s="49">
        <v>36</v>
      </c>
      <c r="BM15" s="50">
        <v>100</v>
      </c>
      <c r="BN15" s="49">
        <v>36</v>
      </c>
    </row>
    <row r="16" spans="1:66" ht="15">
      <c r="A16" s="65" t="s">
        <v>244</v>
      </c>
      <c r="B16" s="65" t="s">
        <v>370</v>
      </c>
      <c r="C16" s="66" t="s">
        <v>2815</v>
      </c>
      <c r="D16" s="67">
        <v>3</v>
      </c>
      <c r="E16" s="66" t="s">
        <v>132</v>
      </c>
      <c r="F16" s="69">
        <v>32</v>
      </c>
      <c r="G16" s="66"/>
      <c r="H16" s="70"/>
      <c r="I16" s="71"/>
      <c r="J16" s="71"/>
      <c r="K16" s="35" t="s">
        <v>65</v>
      </c>
      <c r="L16" s="72">
        <v>16</v>
      </c>
      <c r="M16" s="72"/>
      <c r="N16" s="73"/>
      <c r="O16" s="80" t="s">
        <v>406</v>
      </c>
      <c r="P16" s="82">
        <v>44474.77087962963</v>
      </c>
      <c r="Q16" s="80" t="s">
        <v>418</v>
      </c>
      <c r="R16" s="85" t="str">
        <f>HYPERLINK("https://www.supermarketperimeter.com/articles/7225-cell-based-meat-start-ups-on-the-rise-while-regulatory-approval-remains-iffy")</f>
        <v>https://www.supermarketperimeter.com/articles/7225-cell-based-meat-start-ups-on-the-rise-while-regulatory-approval-remains-iffy</v>
      </c>
      <c r="S16" s="80" t="s">
        <v>518</v>
      </c>
      <c r="T16" s="83" t="s">
        <v>548</v>
      </c>
      <c r="U16" s="80"/>
      <c r="V16" s="85" t="str">
        <f>HYPERLINK("https://pbs.twimg.com/profile_images/1234525508643303426/1HEc46Lj_normal.jpg")</f>
        <v>https://pbs.twimg.com/profile_images/1234525508643303426/1HEc46Lj_normal.jpg</v>
      </c>
      <c r="W16" s="82">
        <v>44474.77087962963</v>
      </c>
      <c r="X16" s="87">
        <v>44474</v>
      </c>
      <c r="Y16" s="83" t="s">
        <v>578</v>
      </c>
      <c r="Z16" s="85" t="str">
        <f>HYPERLINK("https://twitter.com/smperimeter/status/1445456269041537027")</f>
        <v>https://twitter.com/smperimeter/status/1445456269041537027</v>
      </c>
      <c r="AA16" s="80"/>
      <c r="AB16" s="80"/>
      <c r="AC16" s="83" t="s">
        <v>761</v>
      </c>
      <c r="AD16" s="80"/>
      <c r="AE16" s="80" t="b">
        <v>0</v>
      </c>
      <c r="AF16" s="80">
        <v>0</v>
      </c>
      <c r="AG16" s="83" t="s">
        <v>952</v>
      </c>
      <c r="AH16" s="80" t="b">
        <v>0</v>
      </c>
      <c r="AI16" s="80" t="s">
        <v>967</v>
      </c>
      <c r="AJ16" s="80"/>
      <c r="AK16" s="83" t="s">
        <v>952</v>
      </c>
      <c r="AL16" s="80" t="b">
        <v>0</v>
      </c>
      <c r="AM16" s="80">
        <v>0</v>
      </c>
      <c r="AN16" s="83" t="s">
        <v>952</v>
      </c>
      <c r="AO16" s="83" t="s">
        <v>974</v>
      </c>
      <c r="AP16" s="80" t="b">
        <v>0</v>
      </c>
      <c r="AQ16" s="83" t="s">
        <v>761</v>
      </c>
      <c r="AR16" s="80" t="s">
        <v>196</v>
      </c>
      <c r="AS16" s="80">
        <v>0</v>
      </c>
      <c r="AT16" s="80">
        <v>0</v>
      </c>
      <c r="AU16" s="80"/>
      <c r="AV16" s="80"/>
      <c r="AW16" s="80"/>
      <c r="AX16" s="80"/>
      <c r="AY16" s="80"/>
      <c r="AZ16" s="80"/>
      <c r="BA16" s="80"/>
      <c r="BB16" s="80"/>
      <c r="BC16">
        <v>1</v>
      </c>
      <c r="BD16" s="79" t="str">
        <f>REPLACE(INDEX(GroupVertices[Group],MATCH(Edges[[#This Row],[Vertex 1]],GroupVertices[Vertex],0)),1,1,"")</f>
        <v>26</v>
      </c>
      <c r="BE16" s="79" t="str">
        <f>REPLACE(INDEX(GroupVertices[Group],MATCH(Edges[[#This Row],[Vertex 2]],GroupVertices[Vertex],0)),1,1,"")</f>
        <v>26</v>
      </c>
      <c r="BF16" s="49">
        <v>1</v>
      </c>
      <c r="BG16" s="50">
        <v>4.545454545454546</v>
      </c>
      <c r="BH16" s="49">
        <v>0</v>
      </c>
      <c r="BI16" s="50">
        <v>0</v>
      </c>
      <c r="BJ16" s="49">
        <v>0</v>
      </c>
      <c r="BK16" s="50">
        <v>0</v>
      </c>
      <c r="BL16" s="49">
        <v>21</v>
      </c>
      <c r="BM16" s="50">
        <v>95.45454545454545</v>
      </c>
      <c r="BN16" s="49">
        <v>22</v>
      </c>
    </row>
    <row r="17" spans="1:66" ht="15">
      <c r="A17" s="65" t="s">
        <v>245</v>
      </c>
      <c r="B17" s="65" t="s">
        <v>245</v>
      </c>
      <c r="C17" s="66" t="s">
        <v>2815</v>
      </c>
      <c r="D17" s="67">
        <v>3</v>
      </c>
      <c r="E17" s="66" t="s">
        <v>132</v>
      </c>
      <c r="F17" s="69">
        <v>32</v>
      </c>
      <c r="G17" s="66"/>
      <c r="H17" s="70"/>
      <c r="I17" s="71"/>
      <c r="J17" s="71"/>
      <c r="K17" s="35" t="s">
        <v>65</v>
      </c>
      <c r="L17" s="72">
        <v>17</v>
      </c>
      <c r="M17" s="72"/>
      <c r="N17" s="73"/>
      <c r="O17" s="80" t="s">
        <v>196</v>
      </c>
      <c r="P17" s="82">
        <v>44474.79329861111</v>
      </c>
      <c r="Q17" s="80" t="s">
        <v>419</v>
      </c>
      <c r="R17" s="80"/>
      <c r="S17" s="80"/>
      <c r="T17" s="80"/>
      <c r="U17" s="85" t="str">
        <f>HYPERLINK("https://pbs.twimg.com/media/FA9SLDXUcAUJS4U.jpg")</f>
        <v>https://pbs.twimg.com/media/FA9SLDXUcAUJS4U.jpg</v>
      </c>
      <c r="V17" s="85" t="str">
        <f>HYPERLINK("https://pbs.twimg.com/media/FA9SLDXUcAUJS4U.jpg")</f>
        <v>https://pbs.twimg.com/media/FA9SLDXUcAUJS4U.jpg</v>
      </c>
      <c r="W17" s="82">
        <v>44474.79329861111</v>
      </c>
      <c r="X17" s="87">
        <v>44474</v>
      </c>
      <c r="Y17" s="83" t="s">
        <v>579</v>
      </c>
      <c r="Z17" s="85" t="str">
        <f>HYPERLINK("https://twitter.com/asifood/status/1445464395379712008")</f>
        <v>https://twitter.com/asifood/status/1445464395379712008</v>
      </c>
      <c r="AA17" s="80"/>
      <c r="AB17" s="80"/>
      <c r="AC17" s="83" t="s">
        <v>762</v>
      </c>
      <c r="AD17" s="80"/>
      <c r="AE17" s="80" t="b">
        <v>0</v>
      </c>
      <c r="AF17" s="80">
        <v>0</v>
      </c>
      <c r="AG17" s="83" t="s">
        <v>952</v>
      </c>
      <c r="AH17" s="80" t="b">
        <v>0</v>
      </c>
      <c r="AI17" s="80" t="s">
        <v>967</v>
      </c>
      <c r="AJ17" s="80"/>
      <c r="AK17" s="83" t="s">
        <v>952</v>
      </c>
      <c r="AL17" s="80" t="b">
        <v>0</v>
      </c>
      <c r="AM17" s="80">
        <v>0</v>
      </c>
      <c r="AN17" s="83" t="s">
        <v>952</v>
      </c>
      <c r="AO17" s="83" t="s">
        <v>975</v>
      </c>
      <c r="AP17" s="80" t="b">
        <v>0</v>
      </c>
      <c r="AQ17" s="83" t="s">
        <v>762</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9">
        <v>1</v>
      </c>
      <c r="BG17" s="50">
        <v>3.0303030303030303</v>
      </c>
      <c r="BH17" s="49">
        <v>0</v>
      </c>
      <c r="BI17" s="50">
        <v>0</v>
      </c>
      <c r="BJ17" s="49">
        <v>0</v>
      </c>
      <c r="BK17" s="50">
        <v>0</v>
      </c>
      <c r="BL17" s="49">
        <v>32</v>
      </c>
      <c r="BM17" s="50">
        <v>96.96969696969697</v>
      </c>
      <c r="BN17" s="49">
        <v>33</v>
      </c>
    </row>
    <row r="18" spans="1:66" ht="15">
      <c r="A18" s="65" t="s">
        <v>246</v>
      </c>
      <c r="B18" s="65" t="s">
        <v>319</v>
      </c>
      <c r="C18" s="66" t="s">
        <v>2815</v>
      </c>
      <c r="D18" s="67">
        <v>3</v>
      </c>
      <c r="E18" s="66" t="s">
        <v>132</v>
      </c>
      <c r="F18" s="69">
        <v>32</v>
      </c>
      <c r="G18" s="66"/>
      <c r="H18" s="70"/>
      <c r="I18" s="71"/>
      <c r="J18" s="71"/>
      <c r="K18" s="35" t="s">
        <v>65</v>
      </c>
      <c r="L18" s="72">
        <v>18</v>
      </c>
      <c r="M18" s="72"/>
      <c r="N18" s="73"/>
      <c r="O18" s="80" t="s">
        <v>408</v>
      </c>
      <c r="P18" s="82">
        <v>44474.89226851852</v>
      </c>
      <c r="Q18" s="80" t="s">
        <v>420</v>
      </c>
      <c r="R18" s="85" t="str">
        <f>HYPERLINK("https://vision4thefuture.co/lab-made-dairy-products/")</f>
        <v>https://vision4thefuture.co/lab-made-dairy-products/</v>
      </c>
      <c r="S18" s="80" t="s">
        <v>519</v>
      </c>
      <c r="T18" s="83" t="s">
        <v>549</v>
      </c>
      <c r="U18" s="80"/>
      <c r="V18" s="85" t="str">
        <f>HYPERLINK("https://pbs.twimg.com/profile_images/1082814916959059969/2QZgsWM9_normal.jpg")</f>
        <v>https://pbs.twimg.com/profile_images/1082814916959059969/2QZgsWM9_normal.jpg</v>
      </c>
      <c r="W18" s="82">
        <v>44474.89226851852</v>
      </c>
      <c r="X18" s="87">
        <v>44474</v>
      </c>
      <c r="Y18" s="83" t="s">
        <v>580</v>
      </c>
      <c r="Z18" s="85" t="str">
        <f>HYPERLINK("https://twitter.com/sirlambomoon/status/1445500259019341830")</f>
        <v>https://twitter.com/sirlambomoon/status/1445500259019341830</v>
      </c>
      <c r="AA18" s="80"/>
      <c r="AB18" s="80"/>
      <c r="AC18" s="83" t="s">
        <v>763</v>
      </c>
      <c r="AD18" s="80"/>
      <c r="AE18" s="80" t="b">
        <v>0</v>
      </c>
      <c r="AF18" s="80">
        <v>0</v>
      </c>
      <c r="AG18" s="83" t="s">
        <v>952</v>
      </c>
      <c r="AH18" s="80" t="b">
        <v>0</v>
      </c>
      <c r="AI18" s="80" t="s">
        <v>967</v>
      </c>
      <c r="AJ18" s="80"/>
      <c r="AK18" s="83" t="s">
        <v>952</v>
      </c>
      <c r="AL18" s="80" t="b">
        <v>0</v>
      </c>
      <c r="AM18" s="80">
        <v>39</v>
      </c>
      <c r="AN18" s="83" t="s">
        <v>847</v>
      </c>
      <c r="AO18" s="83" t="s">
        <v>972</v>
      </c>
      <c r="AP18" s="80" t="b">
        <v>0</v>
      </c>
      <c r="AQ18" s="83" t="s">
        <v>847</v>
      </c>
      <c r="AR18" s="80" t="s">
        <v>196</v>
      </c>
      <c r="AS18" s="80">
        <v>0</v>
      </c>
      <c r="AT18" s="80">
        <v>0</v>
      </c>
      <c r="AU18" s="80"/>
      <c r="AV18" s="80"/>
      <c r="AW18" s="80"/>
      <c r="AX18" s="80"/>
      <c r="AY18" s="80"/>
      <c r="AZ18" s="80"/>
      <c r="BA18" s="80"/>
      <c r="BB18" s="80"/>
      <c r="BC18">
        <v>1</v>
      </c>
      <c r="BD18" s="79" t="str">
        <f>REPLACE(INDEX(GroupVertices[Group],MATCH(Edges[[#This Row],[Vertex 1]],GroupVertices[Vertex],0)),1,1,"")</f>
        <v>7</v>
      </c>
      <c r="BE18" s="79" t="str">
        <f>REPLACE(INDEX(GroupVertices[Group],MATCH(Edges[[#This Row],[Vertex 2]],GroupVertices[Vertex],0)),1,1,"")</f>
        <v>7</v>
      </c>
      <c r="BF18" s="49">
        <v>0</v>
      </c>
      <c r="BG18" s="50">
        <v>0</v>
      </c>
      <c r="BH18" s="49">
        <v>0</v>
      </c>
      <c r="BI18" s="50">
        <v>0</v>
      </c>
      <c r="BJ18" s="49">
        <v>0</v>
      </c>
      <c r="BK18" s="50">
        <v>0</v>
      </c>
      <c r="BL18" s="49">
        <v>34</v>
      </c>
      <c r="BM18" s="50">
        <v>100</v>
      </c>
      <c r="BN18" s="49">
        <v>34</v>
      </c>
    </row>
    <row r="19" spans="1:66" ht="15">
      <c r="A19" s="65" t="s">
        <v>247</v>
      </c>
      <c r="B19" s="65" t="s">
        <v>319</v>
      </c>
      <c r="C19" s="66" t="s">
        <v>2815</v>
      </c>
      <c r="D19" s="67">
        <v>3</v>
      </c>
      <c r="E19" s="66" t="s">
        <v>132</v>
      </c>
      <c r="F19" s="69">
        <v>32</v>
      </c>
      <c r="G19" s="66"/>
      <c r="H19" s="70"/>
      <c r="I19" s="71"/>
      <c r="J19" s="71"/>
      <c r="K19" s="35" t="s">
        <v>65</v>
      </c>
      <c r="L19" s="72">
        <v>19</v>
      </c>
      <c r="M19" s="72"/>
      <c r="N19" s="73"/>
      <c r="O19" s="80" t="s">
        <v>408</v>
      </c>
      <c r="P19" s="82">
        <v>44474.893692129626</v>
      </c>
      <c r="Q19" s="80" t="s">
        <v>420</v>
      </c>
      <c r="R19" s="85" t="str">
        <f>HYPERLINK("https://vision4thefuture.co/lab-made-dairy-products/")</f>
        <v>https://vision4thefuture.co/lab-made-dairy-products/</v>
      </c>
      <c r="S19" s="80" t="s">
        <v>519</v>
      </c>
      <c r="T19" s="83" t="s">
        <v>549</v>
      </c>
      <c r="U19" s="80"/>
      <c r="V19" s="85" t="str">
        <f>HYPERLINK("https://pbs.twimg.com/profile_images/1293599208209965056/wX7mfnMX_normal.jpg")</f>
        <v>https://pbs.twimg.com/profile_images/1293599208209965056/wX7mfnMX_normal.jpg</v>
      </c>
      <c r="W19" s="82">
        <v>44474.893692129626</v>
      </c>
      <c r="X19" s="87">
        <v>44474</v>
      </c>
      <c r="Y19" s="83" t="s">
        <v>581</v>
      </c>
      <c r="Z19" s="85" t="str">
        <f>HYPERLINK("https://twitter.com/whatisayisnt/status/1445500773677240320")</f>
        <v>https://twitter.com/whatisayisnt/status/1445500773677240320</v>
      </c>
      <c r="AA19" s="80"/>
      <c r="AB19" s="80"/>
      <c r="AC19" s="83" t="s">
        <v>764</v>
      </c>
      <c r="AD19" s="80"/>
      <c r="AE19" s="80" t="b">
        <v>0</v>
      </c>
      <c r="AF19" s="80">
        <v>0</v>
      </c>
      <c r="AG19" s="83" t="s">
        <v>952</v>
      </c>
      <c r="AH19" s="80" t="b">
        <v>0</v>
      </c>
      <c r="AI19" s="80" t="s">
        <v>967</v>
      </c>
      <c r="AJ19" s="80"/>
      <c r="AK19" s="83" t="s">
        <v>952</v>
      </c>
      <c r="AL19" s="80" t="b">
        <v>0</v>
      </c>
      <c r="AM19" s="80">
        <v>39</v>
      </c>
      <c r="AN19" s="83" t="s">
        <v>847</v>
      </c>
      <c r="AO19" s="83" t="s">
        <v>972</v>
      </c>
      <c r="AP19" s="80" t="b">
        <v>0</v>
      </c>
      <c r="AQ19" s="83" t="s">
        <v>847</v>
      </c>
      <c r="AR19" s="80" t="s">
        <v>196</v>
      </c>
      <c r="AS19" s="80">
        <v>0</v>
      </c>
      <c r="AT19" s="80">
        <v>0</v>
      </c>
      <c r="AU19" s="80"/>
      <c r="AV19" s="80"/>
      <c r="AW19" s="80"/>
      <c r="AX19" s="80"/>
      <c r="AY19" s="80"/>
      <c r="AZ19" s="80"/>
      <c r="BA19" s="80"/>
      <c r="BB19" s="80"/>
      <c r="BC19">
        <v>1</v>
      </c>
      <c r="BD19" s="79" t="str">
        <f>REPLACE(INDEX(GroupVertices[Group],MATCH(Edges[[#This Row],[Vertex 1]],GroupVertices[Vertex],0)),1,1,"")</f>
        <v>7</v>
      </c>
      <c r="BE19" s="79" t="str">
        <f>REPLACE(INDEX(GroupVertices[Group],MATCH(Edges[[#This Row],[Vertex 2]],GroupVertices[Vertex],0)),1,1,"")</f>
        <v>7</v>
      </c>
      <c r="BF19" s="49">
        <v>0</v>
      </c>
      <c r="BG19" s="50">
        <v>0</v>
      </c>
      <c r="BH19" s="49">
        <v>0</v>
      </c>
      <c r="BI19" s="50">
        <v>0</v>
      </c>
      <c r="BJ19" s="49">
        <v>0</v>
      </c>
      <c r="BK19" s="50">
        <v>0</v>
      </c>
      <c r="BL19" s="49">
        <v>34</v>
      </c>
      <c r="BM19" s="50">
        <v>100</v>
      </c>
      <c r="BN19" s="49">
        <v>34</v>
      </c>
    </row>
    <row r="20" spans="1:66" ht="15">
      <c r="A20" s="65" t="s">
        <v>248</v>
      </c>
      <c r="B20" s="65" t="s">
        <v>248</v>
      </c>
      <c r="C20" s="66" t="s">
        <v>2815</v>
      </c>
      <c r="D20" s="67">
        <v>3</v>
      </c>
      <c r="E20" s="66" t="s">
        <v>132</v>
      </c>
      <c r="F20" s="69">
        <v>32</v>
      </c>
      <c r="G20" s="66"/>
      <c r="H20" s="70"/>
      <c r="I20" s="71"/>
      <c r="J20" s="71"/>
      <c r="K20" s="35" t="s">
        <v>65</v>
      </c>
      <c r="L20" s="72">
        <v>20</v>
      </c>
      <c r="M20" s="72"/>
      <c r="N20" s="73"/>
      <c r="O20" s="80" t="s">
        <v>196</v>
      </c>
      <c r="P20" s="82">
        <v>44475.14221064815</v>
      </c>
      <c r="Q20" s="80" t="s">
        <v>421</v>
      </c>
      <c r="R20" s="85" t="str">
        <f>HYPERLINK("https://facebook.com/170838427821860/posts/373108070928227/?d=n")</f>
        <v>https://facebook.com/170838427821860/posts/373108070928227/?d=n</v>
      </c>
      <c r="S20" s="80" t="s">
        <v>520</v>
      </c>
      <c r="T20" s="83" t="s">
        <v>550</v>
      </c>
      <c r="U20" s="85" t="str">
        <f>HYPERLINK("https://pbs.twimg.com/media/FA_FMk6UYAcGEe-.jpg")</f>
        <v>https://pbs.twimg.com/media/FA_FMk6UYAcGEe-.jpg</v>
      </c>
      <c r="V20" s="85" t="str">
        <f>HYPERLINK("https://pbs.twimg.com/media/FA_FMk6UYAcGEe-.jpg")</f>
        <v>https://pbs.twimg.com/media/FA_FMk6UYAcGEe-.jpg</v>
      </c>
      <c r="W20" s="82">
        <v>44475.14221064815</v>
      </c>
      <c r="X20" s="87">
        <v>44475</v>
      </c>
      <c r="Y20" s="83" t="s">
        <v>582</v>
      </c>
      <c r="Z20" s="85" t="str">
        <f>HYPERLINK("https://twitter.com/greenative_co/status/1445590835890851842")</f>
        <v>https://twitter.com/greenative_co/status/1445590835890851842</v>
      </c>
      <c r="AA20" s="80"/>
      <c r="AB20" s="80"/>
      <c r="AC20" s="83" t="s">
        <v>765</v>
      </c>
      <c r="AD20" s="80"/>
      <c r="AE20" s="80" t="b">
        <v>0</v>
      </c>
      <c r="AF20" s="80">
        <v>1</v>
      </c>
      <c r="AG20" s="83" t="s">
        <v>952</v>
      </c>
      <c r="AH20" s="80" t="b">
        <v>0</v>
      </c>
      <c r="AI20" s="80" t="s">
        <v>968</v>
      </c>
      <c r="AJ20" s="80"/>
      <c r="AK20" s="83" t="s">
        <v>952</v>
      </c>
      <c r="AL20" s="80" t="b">
        <v>0</v>
      </c>
      <c r="AM20" s="80">
        <v>0</v>
      </c>
      <c r="AN20" s="83" t="s">
        <v>952</v>
      </c>
      <c r="AO20" s="83" t="s">
        <v>976</v>
      </c>
      <c r="AP20" s="80" t="b">
        <v>0</v>
      </c>
      <c r="AQ20" s="83" t="s">
        <v>765</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9">
        <v>0</v>
      </c>
      <c r="BG20" s="50">
        <v>0</v>
      </c>
      <c r="BH20" s="49">
        <v>0</v>
      </c>
      <c r="BI20" s="50">
        <v>0</v>
      </c>
      <c r="BJ20" s="49">
        <v>0</v>
      </c>
      <c r="BK20" s="50">
        <v>0</v>
      </c>
      <c r="BL20" s="49">
        <v>41</v>
      </c>
      <c r="BM20" s="50">
        <v>100</v>
      </c>
      <c r="BN20" s="49">
        <v>41</v>
      </c>
    </row>
    <row r="21" spans="1:66" ht="15">
      <c r="A21" s="65" t="s">
        <v>249</v>
      </c>
      <c r="B21" s="65" t="s">
        <v>371</v>
      </c>
      <c r="C21" s="66" t="s">
        <v>2815</v>
      </c>
      <c r="D21" s="67">
        <v>3</v>
      </c>
      <c r="E21" s="66" t="s">
        <v>132</v>
      </c>
      <c r="F21" s="69">
        <v>32</v>
      </c>
      <c r="G21" s="66"/>
      <c r="H21" s="70"/>
      <c r="I21" s="71"/>
      <c r="J21" s="71"/>
      <c r="K21" s="35" t="s">
        <v>65</v>
      </c>
      <c r="L21" s="72">
        <v>21</v>
      </c>
      <c r="M21" s="72"/>
      <c r="N21" s="73"/>
      <c r="O21" s="80" t="s">
        <v>406</v>
      </c>
      <c r="P21" s="82">
        <v>44474.35481481482</v>
      </c>
      <c r="Q21" s="80" t="s">
        <v>422</v>
      </c>
      <c r="R21" s="85" t="str">
        <f>HYPERLINK("https://medium.com/futurefood/one-week-in-a-post-18-plant-based-ingredients-you-can-pronounce-celebs-craziness-on-cellular-ag-30e1b1a51a40")</f>
        <v>https://medium.com/futurefood/one-week-in-a-post-18-plant-based-ingredients-you-can-pronounce-celebs-craziness-on-cellular-ag-30e1b1a51a40</v>
      </c>
      <c r="S21" s="80" t="s">
        <v>521</v>
      </c>
      <c r="T21" s="80"/>
      <c r="U21" s="80"/>
      <c r="V21" s="85" t="str">
        <f>HYPERLINK("https://pbs.twimg.com/profile_images/1122884182840098816/svagVcmt_normal.jpg")</f>
        <v>https://pbs.twimg.com/profile_images/1122884182840098816/svagVcmt_normal.jpg</v>
      </c>
      <c r="W21" s="82">
        <v>44474.35481481482</v>
      </c>
      <c r="X21" s="87">
        <v>44474</v>
      </c>
      <c r="Y21" s="83" t="s">
        <v>583</v>
      </c>
      <c r="Z21" s="85" t="str">
        <f>HYPERLINK("https://twitter.com/ffoodinstitute/status/1445305494223138818")</f>
        <v>https://twitter.com/ffoodinstitute/status/1445305494223138818</v>
      </c>
      <c r="AA21" s="80"/>
      <c r="AB21" s="80"/>
      <c r="AC21" s="83" t="s">
        <v>766</v>
      </c>
      <c r="AD21" s="80"/>
      <c r="AE21" s="80" t="b">
        <v>0</v>
      </c>
      <c r="AF21" s="80">
        <v>2</v>
      </c>
      <c r="AG21" s="83" t="s">
        <v>952</v>
      </c>
      <c r="AH21" s="80" t="b">
        <v>0</v>
      </c>
      <c r="AI21" s="80" t="s">
        <v>967</v>
      </c>
      <c r="AJ21" s="80"/>
      <c r="AK21" s="83" t="s">
        <v>952</v>
      </c>
      <c r="AL21" s="80" t="b">
        <v>0</v>
      </c>
      <c r="AM21" s="80">
        <v>1</v>
      </c>
      <c r="AN21" s="83" t="s">
        <v>952</v>
      </c>
      <c r="AO21" s="83" t="s">
        <v>972</v>
      </c>
      <c r="AP21" s="80" t="b">
        <v>0</v>
      </c>
      <c r="AQ21" s="83" t="s">
        <v>766</v>
      </c>
      <c r="AR21" s="80" t="s">
        <v>196</v>
      </c>
      <c r="AS21" s="80">
        <v>0</v>
      </c>
      <c r="AT21" s="80">
        <v>0</v>
      </c>
      <c r="AU21" s="80"/>
      <c r="AV21" s="80"/>
      <c r="AW21" s="80"/>
      <c r="AX21" s="80"/>
      <c r="AY21" s="80"/>
      <c r="AZ21" s="80"/>
      <c r="BA21" s="80"/>
      <c r="BB21" s="80"/>
      <c r="BC21">
        <v>1</v>
      </c>
      <c r="BD21" s="79" t="str">
        <f>REPLACE(INDEX(GroupVertices[Group],MATCH(Edges[[#This Row],[Vertex 1]],GroupVertices[Vertex],0)),1,1,"")</f>
        <v>6</v>
      </c>
      <c r="BE21" s="79" t="str">
        <f>REPLACE(INDEX(GroupVertices[Group],MATCH(Edges[[#This Row],[Vertex 2]],GroupVertices[Vertex],0)),1,1,"")</f>
        <v>6</v>
      </c>
      <c r="BF21" s="49"/>
      <c r="BG21" s="50"/>
      <c r="BH21" s="49"/>
      <c r="BI21" s="50"/>
      <c r="BJ21" s="49"/>
      <c r="BK21" s="50"/>
      <c r="BL21" s="49"/>
      <c r="BM21" s="50"/>
      <c r="BN21" s="49"/>
    </row>
    <row r="22" spans="1:66" ht="15">
      <c r="A22" s="65" t="s">
        <v>250</v>
      </c>
      <c r="B22" s="65" t="s">
        <v>371</v>
      </c>
      <c r="C22" s="66" t="s">
        <v>2815</v>
      </c>
      <c r="D22" s="67">
        <v>3</v>
      </c>
      <c r="E22" s="66" t="s">
        <v>132</v>
      </c>
      <c r="F22" s="69">
        <v>32</v>
      </c>
      <c r="G22" s="66"/>
      <c r="H22" s="70"/>
      <c r="I22" s="71"/>
      <c r="J22" s="71"/>
      <c r="K22" s="35" t="s">
        <v>65</v>
      </c>
      <c r="L22" s="72">
        <v>22</v>
      </c>
      <c r="M22" s="72"/>
      <c r="N22" s="73"/>
      <c r="O22" s="80" t="s">
        <v>407</v>
      </c>
      <c r="P22" s="82">
        <v>44475.162199074075</v>
      </c>
      <c r="Q22" s="80" t="s">
        <v>422</v>
      </c>
      <c r="R22" s="85" t="str">
        <f>HYPERLINK("https://medium.com/futurefood/one-week-in-a-post-18-plant-based-ingredients-you-can-pronounce-celebs-craziness-on-cellular-ag-30e1b1a51a40")</f>
        <v>https://medium.com/futurefood/one-week-in-a-post-18-plant-based-ingredients-you-can-pronounce-celebs-craziness-on-cellular-ag-30e1b1a51a40</v>
      </c>
      <c r="S22" s="80" t="s">
        <v>521</v>
      </c>
      <c r="T22" s="80"/>
      <c r="U22" s="80"/>
      <c r="V22" s="85" t="str">
        <f>HYPERLINK("https://pbs.twimg.com/profile_images/1430059625915854895/wltKSzhZ_normal.jpg")</f>
        <v>https://pbs.twimg.com/profile_images/1430059625915854895/wltKSzhZ_normal.jpg</v>
      </c>
      <c r="W22" s="82">
        <v>44475.162199074075</v>
      </c>
      <c r="X22" s="87">
        <v>44475</v>
      </c>
      <c r="Y22" s="83" t="s">
        <v>584</v>
      </c>
      <c r="Z22" s="85" t="str">
        <f>HYPERLINK("https://twitter.com/alephfarms/status/1445598078925295624")</f>
        <v>https://twitter.com/alephfarms/status/1445598078925295624</v>
      </c>
      <c r="AA22" s="80"/>
      <c r="AB22" s="80"/>
      <c r="AC22" s="83" t="s">
        <v>767</v>
      </c>
      <c r="AD22" s="80"/>
      <c r="AE22" s="80" t="b">
        <v>0</v>
      </c>
      <c r="AF22" s="80">
        <v>0</v>
      </c>
      <c r="AG22" s="83" t="s">
        <v>952</v>
      </c>
      <c r="AH22" s="80" t="b">
        <v>0</v>
      </c>
      <c r="AI22" s="80" t="s">
        <v>967</v>
      </c>
      <c r="AJ22" s="80"/>
      <c r="AK22" s="83" t="s">
        <v>952</v>
      </c>
      <c r="AL22" s="80" t="b">
        <v>0</v>
      </c>
      <c r="AM22" s="80">
        <v>1</v>
      </c>
      <c r="AN22" s="83" t="s">
        <v>766</v>
      </c>
      <c r="AO22" s="83" t="s">
        <v>972</v>
      </c>
      <c r="AP22" s="80" t="b">
        <v>0</v>
      </c>
      <c r="AQ22" s="83" t="s">
        <v>766</v>
      </c>
      <c r="AR22" s="80" t="s">
        <v>196</v>
      </c>
      <c r="AS22" s="80">
        <v>0</v>
      </c>
      <c r="AT22" s="80">
        <v>0</v>
      </c>
      <c r="AU22" s="80"/>
      <c r="AV22" s="80"/>
      <c r="AW22" s="80"/>
      <c r="AX22" s="80"/>
      <c r="AY22" s="80"/>
      <c r="AZ22" s="80"/>
      <c r="BA22" s="80"/>
      <c r="BB22" s="80"/>
      <c r="BC22">
        <v>1</v>
      </c>
      <c r="BD22" s="79" t="str">
        <f>REPLACE(INDEX(GroupVertices[Group],MATCH(Edges[[#This Row],[Vertex 1]],GroupVertices[Vertex],0)),1,1,"")</f>
        <v>6</v>
      </c>
      <c r="BE22" s="79" t="str">
        <f>REPLACE(INDEX(GroupVertices[Group],MATCH(Edges[[#This Row],[Vertex 2]],GroupVertices[Vertex],0)),1,1,"")</f>
        <v>6</v>
      </c>
      <c r="BF22" s="49"/>
      <c r="BG22" s="50"/>
      <c r="BH22" s="49"/>
      <c r="BI22" s="50"/>
      <c r="BJ22" s="49"/>
      <c r="BK22" s="50"/>
      <c r="BL22" s="49"/>
      <c r="BM22" s="50"/>
      <c r="BN22" s="49"/>
    </row>
    <row r="23" spans="1:66" ht="15">
      <c r="A23" s="65" t="s">
        <v>249</v>
      </c>
      <c r="B23" s="65" t="s">
        <v>372</v>
      </c>
      <c r="C23" s="66" t="s">
        <v>2815</v>
      </c>
      <c r="D23" s="67">
        <v>3</v>
      </c>
      <c r="E23" s="66" t="s">
        <v>132</v>
      </c>
      <c r="F23" s="69">
        <v>32</v>
      </c>
      <c r="G23" s="66"/>
      <c r="H23" s="70"/>
      <c r="I23" s="71"/>
      <c r="J23" s="71"/>
      <c r="K23" s="35" t="s">
        <v>65</v>
      </c>
      <c r="L23" s="72">
        <v>23</v>
      </c>
      <c r="M23" s="72"/>
      <c r="N23" s="73"/>
      <c r="O23" s="80" t="s">
        <v>406</v>
      </c>
      <c r="P23" s="82">
        <v>44474.35481481482</v>
      </c>
      <c r="Q23" s="80" t="s">
        <v>422</v>
      </c>
      <c r="R23" s="85" t="str">
        <f>HYPERLINK("https://medium.com/futurefood/one-week-in-a-post-18-plant-based-ingredients-you-can-pronounce-celebs-craziness-on-cellular-ag-30e1b1a51a40")</f>
        <v>https://medium.com/futurefood/one-week-in-a-post-18-plant-based-ingredients-you-can-pronounce-celebs-craziness-on-cellular-ag-30e1b1a51a40</v>
      </c>
      <c r="S23" s="80" t="s">
        <v>521</v>
      </c>
      <c r="T23" s="80"/>
      <c r="U23" s="80"/>
      <c r="V23" s="85" t="str">
        <f>HYPERLINK("https://pbs.twimg.com/profile_images/1122884182840098816/svagVcmt_normal.jpg")</f>
        <v>https://pbs.twimg.com/profile_images/1122884182840098816/svagVcmt_normal.jpg</v>
      </c>
      <c r="W23" s="82">
        <v>44474.35481481482</v>
      </c>
      <c r="X23" s="87">
        <v>44474</v>
      </c>
      <c r="Y23" s="83" t="s">
        <v>583</v>
      </c>
      <c r="Z23" s="85" t="str">
        <f>HYPERLINK("https://twitter.com/ffoodinstitute/status/1445305494223138818")</f>
        <v>https://twitter.com/ffoodinstitute/status/1445305494223138818</v>
      </c>
      <c r="AA23" s="80"/>
      <c r="AB23" s="80"/>
      <c r="AC23" s="83" t="s">
        <v>766</v>
      </c>
      <c r="AD23" s="80"/>
      <c r="AE23" s="80" t="b">
        <v>0</v>
      </c>
      <c r="AF23" s="80">
        <v>2</v>
      </c>
      <c r="AG23" s="83" t="s">
        <v>952</v>
      </c>
      <c r="AH23" s="80" t="b">
        <v>0</v>
      </c>
      <c r="AI23" s="80" t="s">
        <v>967</v>
      </c>
      <c r="AJ23" s="80"/>
      <c r="AK23" s="83" t="s">
        <v>952</v>
      </c>
      <c r="AL23" s="80" t="b">
        <v>0</v>
      </c>
      <c r="AM23" s="80">
        <v>1</v>
      </c>
      <c r="AN23" s="83" t="s">
        <v>952</v>
      </c>
      <c r="AO23" s="83" t="s">
        <v>972</v>
      </c>
      <c r="AP23" s="80" t="b">
        <v>0</v>
      </c>
      <c r="AQ23" s="83" t="s">
        <v>766</v>
      </c>
      <c r="AR23" s="80" t="s">
        <v>196</v>
      </c>
      <c r="AS23" s="80">
        <v>0</v>
      </c>
      <c r="AT23" s="80">
        <v>0</v>
      </c>
      <c r="AU23" s="80"/>
      <c r="AV23" s="80"/>
      <c r="AW23" s="80"/>
      <c r="AX23" s="80"/>
      <c r="AY23" s="80"/>
      <c r="AZ23" s="80"/>
      <c r="BA23" s="80"/>
      <c r="BB23" s="80"/>
      <c r="BC23">
        <v>1</v>
      </c>
      <c r="BD23" s="79" t="str">
        <f>REPLACE(INDEX(GroupVertices[Group],MATCH(Edges[[#This Row],[Vertex 1]],GroupVertices[Vertex],0)),1,1,"")</f>
        <v>6</v>
      </c>
      <c r="BE23" s="79" t="str">
        <f>REPLACE(INDEX(GroupVertices[Group],MATCH(Edges[[#This Row],[Vertex 2]],GroupVertices[Vertex],0)),1,1,"")</f>
        <v>6</v>
      </c>
      <c r="BF23" s="49"/>
      <c r="BG23" s="50"/>
      <c r="BH23" s="49"/>
      <c r="BI23" s="50"/>
      <c r="BJ23" s="49"/>
      <c r="BK23" s="50"/>
      <c r="BL23" s="49"/>
      <c r="BM23" s="50"/>
      <c r="BN23" s="49"/>
    </row>
    <row r="24" spans="1:66" ht="15">
      <c r="A24" s="65" t="s">
        <v>250</v>
      </c>
      <c r="B24" s="65" t="s">
        <v>372</v>
      </c>
      <c r="C24" s="66" t="s">
        <v>2815</v>
      </c>
      <c r="D24" s="67">
        <v>3</v>
      </c>
      <c r="E24" s="66" t="s">
        <v>132</v>
      </c>
      <c r="F24" s="69">
        <v>32</v>
      </c>
      <c r="G24" s="66"/>
      <c r="H24" s="70"/>
      <c r="I24" s="71"/>
      <c r="J24" s="71"/>
      <c r="K24" s="35" t="s">
        <v>65</v>
      </c>
      <c r="L24" s="72">
        <v>24</v>
      </c>
      <c r="M24" s="72"/>
      <c r="N24" s="73"/>
      <c r="O24" s="80" t="s">
        <v>407</v>
      </c>
      <c r="P24" s="82">
        <v>44475.162199074075</v>
      </c>
      <c r="Q24" s="80" t="s">
        <v>422</v>
      </c>
      <c r="R24" s="85" t="str">
        <f>HYPERLINK("https://medium.com/futurefood/one-week-in-a-post-18-plant-based-ingredients-you-can-pronounce-celebs-craziness-on-cellular-ag-30e1b1a51a40")</f>
        <v>https://medium.com/futurefood/one-week-in-a-post-18-plant-based-ingredients-you-can-pronounce-celebs-craziness-on-cellular-ag-30e1b1a51a40</v>
      </c>
      <c r="S24" s="80" t="s">
        <v>521</v>
      </c>
      <c r="T24" s="80"/>
      <c r="U24" s="80"/>
      <c r="V24" s="85" t="str">
        <f>HYPERLINK("https://pbs.twimg.com/profile_images/1430059625915854895/wltKSzhZ_normal.jpg")</f>
        <v>https://pbs.twimg.com/profile_images/1430059625915854895/wltKSzhZ_normal.jpg</v>
      </c>
      <c r="W24" s="82">
        <v>44475.162199074075</v>
      </c>
      <c r="X24" s="87">
        <v>44475</v>
      </c>
      <c r="Y24" s="83" t="s">
        <v>584</v>
      </c>
      <c r="Z24" s="85" t="str">
        <f>HYPERLINK("https://twitter.com/alephfarms/status/1445598078925295624")</f>
        <v>https://twitter.com/alephfarms/status/1445598078925295624</v>
      </c>
      <c r="AA24" s="80"/>
      <c r="AB24" s="80"/>
      <c r="AC24" s="83" t="s">
        <v>767</v>
      </c>
      <c r="AD24" s="80"/>
      <c r="AE24" s="80" t="b">
        <v>0</v>
      </c>
      <c r="AF24" s="80">
        <v>0</v>
      </c>
      <c r="AG24" s="83" t="s">
        <v>952</v>
      </c>
      <c r="AH24" s="80" t="b">
        <v>0</v>
      </c>
      <c r="AI24" s="80" t="s">
        <v>967</v>
      </c>
      <c r="AJ24" s="80"/>
      <c r="AK24" s="83" t="s">
        <v>952</v>
      </c>
      <c r="AL24" s="80" t="b">
        <v>0</v>
      </c>
      <c r="AM24" s="80">
        <v>1</v>
      </c>
      <c r="AN24" s="83" t="s">
        <v>766</v>
      </c>
      <c r="AO24" s="83" t="s">
        <v>972</v>
      </c>
      <c r="AP24" s="80" t="b">
        <v>0</v>
      </c>
      <c r="AQ24" s="83" t="s">
        <v>766</v>
      </c>
      <c r="AR24" s="80" t="s">
        <v>196</v>
      </c>
      <c r="AS24" s="80">
        <v>0</v>
      </c>
      <c r="AT24" s="80">
        <v>0</v>
      </c>
      <c r="AU24" s="80"/>
      <c r="AV24" s="80"/>
      <c r="AW24" s="80"/>
      <c r="AX24" s="80"/>
      <c r="AY24" s="80"/>
      <c r="AZ24" s="80"/>
      <c r="BA24" s="80"/>
      <c r="BB24" s="80"/>
      <c r="BC24">
        <v>1</v>
      </c>
      <c r="BD24" s="79" t="str">
        <f>REPLACE(INDEX(GroupVertices[Group],MATCH(Edges[[#This Row],[Vertex 1]],GroupVertices[Vertex],0)),1,1,"")</f>
        <v>6</v>
      </c>
      <c r="BE24" s="79" t="str">
        <f>REPLACE(INDEX(GroupVertices[Group],MATCH(Edges[[#This Row],[Vertex 2]],GroupVertices[Vertex],0)),1,1,"")</f>
        <v>6</v>
      </c>
      <c r="BF24" s="49"/>
      <c r="BG24" s="50"/>
      <c r="BH24" s="49"/>
      <c r="BI24" s="50"/>
      <c r="BJ24" s="49"/>
      <c r="BK24" s="50"/>
      <c r="BL24" s="49"/>
      <c r="BM24" s="50"/>
      <c r="BN24" s="49"/>
    </row>
    <row r="25" spans="1:66" ht="15">
      <c r="A25" s="65" t="s">
        <v>249</v>
      </c>
      <c r="B25" s="65" t="s">
        <v>373</v>
      </c>
      <c r="C25" s="66" t="s">
        <v>2815</v>
      </c>
      <c r="D25" s="67">
        <v>3</v>
      </c>
      <c r="E25" s="66" t="s">
        <v>132</v>
      </c>
      <c r="F25" s="69">
        <v>32</v>
      </c>
      <c r="G25" s="66"/>
      <c r="H25" s="70"/>
      <c r="I25" s="71"/>
      <c r="J25" s="71"/>
      <c r="K25" s="35" t="s">
        <v>65</v>
      </c>
      <c r="L25" s="72">
        <v>25</v>
      </c>
      <c r="M25" s="72"/>
      <c r="N25" s="73"/>
      <c r="O25" s="80" t="s">
        <v>406</v>
      </c>
      <c r="P25" s="82">
        <v>44474.35481481482</v>
      </c>
      <c r="Q25" s="80" t="s">
        <v>422</v>
      </c>
      <c r="R25" s="85" t="str">
        <f>HYPERLINK("https://medium.com/futurefood/one-week-in-a-post-18-plant-based-ingredients-you-can-pronounce-celebs-craziness-on-cellular-ag-30e1b1a51a40")</f>
        <v>https://medium.com/futurefood/one-week-in-a-post-18-plant-based-ingredients-you-can-pronounce-celebs-craziness-on-cellular-ag-30e1b1a51a40</v>
      </c>
      <c r="S25" s="80" t="s">
        <v>521</v>
      </c>
      <c r="T25" s="80"/>
      <c r="U25" s="80"/>
      <c r="V25" s="85" t="str">
        <f>HYPERLINK("https://pbs.twimg.com/profile_images/1122884182840098816/svagVcmt_normal.jpg")</f>
        <v>https://pbs.twimg.com/profile_images/1122884182840098816/svagVcmt_normal.jpg</v>
      </c>
      <c r="W25" s="82">
        <v>44474.35481481482</v>
      </c>
      <c r="X25" s="87">
        <v>44474</v>
      </c>
      <c r="Y25" s="83" t="s">
        <v>583</v>
      </c>
      <c r="Z25" s="85" t="str">
        <f>HYPERLINK("https://twitter.com/ffoodinstitute/status/1445305494223138818")</f>
        <v>https://twitter.com/ffoodinstitute/status/1445305494223138818</v>
      </c>
      <c r="AA25" s="80"/>
      <c r="AB25" s="80"/>
      <c r="AC25" s="83" t="s">
        <v>766</v>
      </c>
      <c r="AD25" s="80"/>
      <c r="AE25" s="80" t="b">
        <v>0</v>
      </c>
      <c r="AF25" s="80">
        <v>2</v>
      </c>
      <c r="AG25" s="83" t="s">
        <v>952</v>
      </c>
      <c r="AH25" s="80" t="b">
        <v>0</v>
      </c>
      <c r="AI25" s="80" t="s">
        <v>967</v>
      </c>
      <c r="AJ25" s="80"/>
      <c r="AK25" s="83" t="s">
        <v>952</v>
      </c>
      <c r="AL25" s="80" t="b">
        <v>0</v>
      </c>
      <c r="AM25" s="80">
        <v>1</v>
      </c>
      <c r="AN25" s="83" t="s">
        <v>952</v>
      </c>
      <c r="AO25" s="83" t="s">
        <v>972</v>
      </c>
      <c r="AP25" s="80" t="b">
        <v>0</v>
      </c>
      <c r="AQ25" s="83" t="s">
        <v>766</v>
      </c>
      <c r="AR25" s="80" t="s">
        <v>196</v>
      </c>
      <c r="AS25" s="80">
        <v>0</v>
      </c>
      <c r="AT25" s="80">
        <v>0</v>
      </c>
      <c r="AU25" s="80"/>
      <c r="AV25" s="80"/>
      <c r="AW25" s="80"/>
      <c r="AX25" s="80"/>
      <c r="AY25" s="80"/>
      <c r="AZ25" s="80"/>
      <c r="BA25" s="80"/>
      <c r="BB25" s="80"/>
      <c r="BC25">
        <v>1</v>
      </c>
      <c r="BD25" s="79" t="str">
        <f>REPLACE(INDEX(GroupVertices[Group],MATCH(Edges[[#This Row],[Vertex 1]],GroupVertices[Vertex],0)),1,1,"")</f>
        <v>6</v>
      </c>
      <c r="BE25" s="79" t="str">
        <f>REPLACE(INDEX(GroupVertices[Group],MATCH(Edges[[#This Row],[Vertex 2]],GroupVertices[Vertex],0)),1,1,"")</f>
        <v>6</v>
      </c>
      <c r="BF25" s="49">
        <v>0</v>
      </c>
      <c r="BG25" s="50">
        <v>0</v>
      </c>
      <c r="BH25" s="49">
        <v>0</v>
      </c>
      <c r="BI25" s="50">
        <v>0</v>
      </c>
      <c r="BJ25" s="49">
        <v>0</v>
      </c>
      <c r="BK25" s="50">
        <v>0</v>
      </c>
      <c r="BL25" s="49">
        <v>33</v>
      </c>
      <c r="BM25" s="50">
        <v>100</v>
      </c>
      <c r="BN25" s="49">
        <v>33</v>
      </c>
    </row>
    <row r="26" spans="1:66" ht="15">
      <c r="A26" s="65" t="s">
        <v>249</v>
      </c>
      <c r="B26" s="65" t="s">
        <v>250</v>
      </c>
      <c r="C26" s="66" t="s">
        <v>2815</v>
      </c>
      <c r="D26" s="67">
        <v>3</v>
      </c>
      <c r="E26" s="66" t="s">
        <v>132</v>
      </c>
      <c r="F26" s="69">
        <v>32</v>
      </c>
      <c r="G26" s="66"/>
      <c r="H26" s="70"/>
      <c r="I26" s="71"/>
      <c r="J26" s="71"/>
      <c r="K26" s="35" t="s">
        <v>66</v>
      </c>
      <c r="L26" s="72">
        <v>26</v>
      </c>
      <c r="M26" s="72"/>
      <c r="N26" s="73"/>
      <c r="O26" s="80" t="s">
        <v>406</v>
      </c>
      <c r="P26" s="82">
        <v>44474.35481481482</v>
      </c>
      <c r="Q26" s="80" t="s">
        <v>422</v>
      </c>
      <c r="R26" s="85" t="str">
        <f>HYPERLINK("https://medium.com/futurefood/one-week-in-a-post-18-plant-based-ingredients-you-can-pronounce-celebs-craziness-on-cellular-ag-30e1b1a51a40")</f>
        <v>https://medium.com/futurefood/one-week-in-a-post-18-plant-based-ingredients-you-can-pronounce-celebs-craziness-on-cellular-ag-30e1b1a51a40</v>
      </c>
      <c r="S26" s="80" t="s">
        <v>521</v>
      </c>
      <c r="T26" s="80"/>
      <c r="U26" s="80"/>
      <c r="V26" s="85" t="str">
        <f>HYPERLINK("https://pbs.twimg.com/profile_images/1122884182840098816/svagVcmt_normal.jpg")</f>
        <v>https://pbs.twimg.com/profile_images/1122884182840098816/svagVcmt_normal.jpg</v>
      </c>
      <c r="W26" s="82">
        <v>44474.35481481482</v>
      </c>
      <c r="X26" s="87">
        <v>44474</v>
      </c>
      <c r="Y26" s="83" t="s">
        <v>583</v>
      </c>
      <c r="Z26" s="85" t="str">
        <f>HYPERLINK("https://twitter.com/ffoodinstitute/status/1445305494223138818")</f>
        <v>https://twitter.com/ffoodinstitute/status/1445305494223138818</v>
      </c>
      <c r="AA26" s="80"/>
      <c r="AB26" s="80"/>
      <c r="AC26" s="83" t="s">
        <v>766</v>
      </c>
      <c r="AD26" s="80"/>
      <c r="AE26" s="80" t="b">
        <v>0</v>
      </c>
      <c r="AF26" s="80">
        <v>2</v>
      </c>
      <c r="AG26" s="83" t="s">
        <v>952</v>
      </c>
      <c r="AH26" s="80" t="b">
        <v>0</v>
      </c>
      <c r="AI26" s="80" t="s">
        <v>967</v>
      </c>
      <c r="AJ26" s="80"/>
      <c r="AK26" s="83" t="s">
        <v>952</v>
      </c>
      <c r="AL26" s="80" t="b">
        <v>0</v>
      </c>
      <c r="AM26" s="80">
        <v>1</v>
      </c>
      <c r="AN26" s="83" t="s">
        <v>952</v>
      </c>
      <c r="AO26" s="83" t="s">
        <v>972</v>
      </c>
      <c r="AP26" s="80" t="b">
        <v>0</v>
      </c>
      <c r="AQ26" s="83" t="s">
        <v>766</v>
      </c>
      <c r="AR26" s="80" t="s">
        <v>196</v>
      </c>
      <c r="AS26" s="80">
        <v>0</v>
      </c>
      <c r="AT26" s="80">
        <v>0</v>
      </c>
      <c r="AU26" s="80"/>
      <c r="AV26" s="80"/>
      <c r="AW26" s="80"/>
      <c r="AX26" s="80"/>
      <c r="AY26" s="80"/>
      <c r="AZ26" s="80"/>
      <c r="BA26" s="80"/>
      <c r="BB26" s="80"/>
      <c r="BC26">
        <v>1</v>
      </c>
      <c r="BD26" s="79" t="str">
        <f>REPLACE(INDEX(GroupVertices[Group],MATCH(Edges[[#This Row],[Vertex 1]],GroupVertices[Vertex],0)),1,1,"")</f>
        <v>6</v>
      </c>
      <c r="BE26" s="79" t="str">
        <f>REPLACE(INDEX(GroupVertices[Group],MATCH(Edges[[#This Row],[Vertex 2]],GroupVertices[Vertex],0)),1,1,"")</f>
        <v>6</v>
      </c>
      <c r="BF26" s="49"/>
      <c r="BG26" s="50"/>
      <c r="BH26" s="49"/>
      <c r="BI26" s="50"/>
      <c r="BJ26" s="49"/>
      <c r="BK26" s="50"/>
      <c r="BL26" s="49"/>
      <c r="BM26" s="50"/>
      <c r="BN26" s="49"/>
    </row>
    <row r="27" spans="1:66" ht="15">
      <c r="A27" s="65" t="s">
        <v>250</v>
      </c>
      <c r="B27" s="65" t="s">
        <v>249</v>
      </c>
      <c r="C27" s="66" t="s">
        <v>2815</v>
      </c>
      <c r="D27" s="67">
        <v>3</v>
      </c>
      <c r="E27" s="66" t="s">
        <v>132</v>
      </c>
      <c r="F27" s="69">
        <v>32</v>
      </c>
      <c r="G27" s="66"/>
      <c r="H27" s="70"/>
      <c r="I27" s="71"/>
      <c r="J27" s="71"/>
      <c r="K27" s="35" t="s">
        <v>66</v>
      </c>
      <c r="L27" s="72">
        <v>27</v>
      </c>
      <c r="M27" s="72"/>
      <c r="N27" s="73"/>
      <c r="O27" s="80" t="s">
        <v>408</v>
      </c>
      <c r="P27" s="82">
        <v>44475.162199074075</v>
      </c>
      <c r="Q27" s="80" t="s">
        <v>422</v>
      </c>
      <c r="R27" s="85" t="str">
        <f>HYPERLINK("https://medium.com/futurefood/one-week-in-a-post-18-plant-based-ingredients-you-can-pronounce-celebs-craziness-on-cellular-ag-30e1b1a51a40")</f>
        <v>https://medium.com/futurefood/one-week-in-a-post-18-plant-based-ingredients-you-can-pronounce-celebs-craziness-on-cellular-ag-30e1b1a51a40</v>
      </c>
      <c r="S27" s="80" t="s">
        <v>521</v>
      </c>
      <c r="T27" s="80"/>
      <c r="U27" s="80"/>
      <c r="V27" s="85" t="str">
        <f>HYPERLINK("https://pbs.twimg.com/profile_images/1430059625915854895/wltKSzhZ_normal.jpg")</f>
        <v>https://pbs.twimg.com/profile_images/1430059625915854895/wltKSzhZ_normal.jpg</v>
      </c>
      <c r="W27" s="82">
        <v>44475.162199074075</v>
      </c>
      <c r="X27" s="87">
        <v>44475</v>
      </c>
      <c r="Y27" s="83" t="s">
        <v>584</v>
      </c>
      <c r="Z27" s="85" t="str">
        <f>HYPERLINK("https://twitter.com/alephfarms/status/1445598078925295624")</f>
        <v>https://twitter.com/alephfarms/status/1445598078925295624</v>
      </c>
      <c r="AA27" s="80"/>
      <c r="AB27" s="80"/>
      <c r="AC27" s="83" t="s">
        <v>767</v>
      </c>
      <c r="AD27" s="80"/>
      <c r="AE27" s="80" t="b">
        <v>0</v>
      </c>
      <c r="AF27" s="80">
        <v>0</v>
      </c>
      <c r="AG27" s="83" t="s">
        <v>952</v>
      </c>
      <c r="AH27" s="80" t="b">
        <v>0</v>
      </c>
      <c r="AI27" s="80" t="s">
        <v>967</v>
      </c>
      <c r="AJ27" s="80"/>
      <c r="AK27" s="83" t="s">
        <v>952</v>
      </c>
      <c r="AL27" s="80" t="b">
        <v>0</v>
      </c>
      <c r="AM27" s="80">
        <v>1</v>
      </c>
      <c r="AN27" s="83" t="s">
        <v>766</v>
      </c>
      <c r="AO27" s="83" t="s">
        <v>972</v>
      </c>
      <c r="AP27" s="80" t="b">
        <v>0</v>
      </c>
      <c r="AQ27" s="83" t="s">
        <v>766</v>
      </c>
      <c r="AR27" s="80" t="s">
        <v>196</v>
      </c>
      <c r="AS27" s="80">
        <v>0</v>
      </c>
      <c r="AT27" s="80">
        <v>0</v>
      </c>
      <c r="AU27" s="80"/>
      <c r="AV27" s="80"/>
      <c r="AW27" s="80"/>
      <c r="AX27" s="80"/>
      <c r="AY27" s="80"/>
      <c r="AZ27" s="80"/>
      <c r="BA27" s="80"/>
      <c r="BB27" s="80"/>
      <c r="BC27">
        <v>1</v>
      </c>
      <c r="BD27" s="79" t="str">
        <f>REPLACE(INDEX(GroupVertices[Group],MATCH(Edges[[#This Row],[Vertex 1]],GroupVertices[Vertex],0)),1,1,"")</f>
        <v>6</v>
      </c>
      <c r="BE27" s="79" t="str">
        <f>REPLACE(INDEX(GroupVertices[Group],MATCH(Edges[[#This Row],[Vertex 2]],GroupVertices[Vertex],0)),1,1,"")</f>
        <v>6</v>
      </c>
      <c r="BF27" s="49"/>
      <c r="BG27" s="50"/>
      <c r="BH27" s="49"/>
      <c r="BI27" s="50"/>
      <c r="BJ27" s="49"/>
      <c r="BK27" s="50"/>
      <c r="BL27" s="49"/>
      <c r="BM27" s="50"/>
      <c r="BN27" s="49"/>
    </row>
    <row r="28" spans="1:66" ht="15">
      <c r="A28" s="65" t="s">
        <v>250</v>
      </c>
      <c r="B28" s="65" t="s">
        <v>373</v>
      </c>
      <c r="C28" s="66" t="s">
        <v>2815</v>
      </c>
      <c r="D28" s="67">
        <v>3</v>
      </c>
      <c r="E28" s="66" t="s">
        <v>132</v>
      </c>
      <c r="F28" s="69">
        <v>32</v>
      </c>
      <c r="G28" s="66"/>
      <c r="H28" s="70"/>
      <c r="I28" s="71"/>
      <c r="J28" s="71"/>
      <c r="K28" s="35" t="s">
        <v>65</v>
      </c>
      <c r="L28" s="72">
        <v>28</v>
      </c>
      <c r="M28" s="72"/>
      <c r="N28" s="73"/>
      <c r="O28" s="80" t="s">
        <v>407</v>
      </c>
      <c r="P28" s="82">
        <v>44475.162199074075</v>
      </c>
      <c r="Q28" s="80" t="s">
        <v>422</v>
      </c>
      <c r="R28" s="85" t="str">
        <f>HYPERLINK("https://medium.com/futurefood/one-week-in-a-post-18-plant-based-ingredients-you-can-pronounce-celebs-craziness-on-cellular-ag-30e1b1a51a40")</f>
        <v>https://medium.com/futurefood/one-week-in-a-post-18-plant-based-ingredients-you-can-pronounce-celebs-craziness-on-cellular-ag-30e1b1a51a40</v>
      </c>
      <c r="S28" s="80" t="s">
        <v>521</v>
      </c>
      <c r="T28" s="80"/>
      <c r="U28" s="80"/>
      <c r="V28" s="85" t="str">
        <f>HYPERLINK("https://pbs.twimg.com/profile_images/1430059625915854895/wltKSzhZ_normal.jpg")</f>
        <v>https://pbs.twimg.com/profile_images/1430059625915854895/wltKSzhZ_normal.jpg</v>
      </c>
      <c r="W28" s="82">
        <v>44475.162199074075</v>
      </c>
      <c r="X28" s="87">
        <v>44475</v>
      </c>
      <c r="Y28" s="83" t="s">
        <v>584</v>
      </c>
      <c r="Z28" s="85" t="str">
        <f>HYPERLINK("https://twitter.com/alephfarms/status/1445598078925295624")</f>
        <v>https://twitter.com/alephfarms/status/1445598078925295624</v>
      </c>
      <c r="AA28" s="80"/>
      <c r="AB28" s="80"/>
      <c r="AC28" s="83" t="s">
        <v>767</v>
      </c>
      <c r="AD28" s="80"/>
      <c r="AE28" s="80" t="b">
        <v>0</v>
      </c>
      <c r="AF28" s="80">
        <v>0</v>
      </c>
      <c r="AG28" s="83" t="s">
        <v>952</v>
      </c>
      <c r="AH28" s="80" t="b">
        <v>0</v>
      </c>
      <c r="AI28" s="80" t="s">
        <v>967</v>
      </c>
      <c r="AJ28" s="80"/>
      <c r="AK28" s="83" t="s">
        <v>952</v>
      </c>
      <c r="AL28" s="80" t="b">
        <v>0</v>
      </c>
      <c r="AM28" s="80">
        <v>1</v>
      </c>
      <c r="AN28" s="83" t="s">
        <v>766</v>
      </c>
      <c r="AO28" s="83" t="s">
        <v>972</v>
      </c>
      <c r="AP28" s="80" t="b">
        <v>0</v>
      </c>
      <c r="AQ28" s="83" t="s">
        <v>766</v>
      </c>
      <c r="AR28" s="80" t="s">
        <v>196</v>
      </c>
      <c r="AS28" s="80">
        <v>0</v>
      </c>
      <c r="AT28" s="80">
        <v>0</v>
      </c>
      <c r="AU28" s="80"/>
      <c r="AV28" s="80"/>
      <c r="AW28" s="80"/>
      <c r="AX28" s="80"/>
      <c r="AY28" s="80"/>
      <c r="AZ28" s="80"/>
      <c r="BA28" s="80"/>
      <c r="BB28" s="80"/>
      <c r="BC28">
        <v>1</v>
      </c>
      <c r="BD28" s="79" t="str">
        <f>REPLACE(INDEX(GroupVertices[Group],MATCH(Edges[[#This Row],[Vertex 1]],GroupVertices[Vertex],0)),1,1,"")</f>
        <v>6</v>
      </c>
      <c r="BE28" s="79" t="str">
        <f>REPLACE(INDEX(GroupVertices[Group],MATCH(Edges[[#This Row],[Vertex 2]],GroupVertices[Vertex],0)),1,1,"")</f>
        <v>6</v>
      </c>
      <c r="BF28" s="49">
        <v>0</v>
      </c>
      <c r="BG28" s="50">
        <v>0</v>
      </c>
      <c r="BH28" s="49">
        <v>0</v>
      </c>
      <c r="BI28" s="50">
        <v>0</v>
      </c>
      <c r="BJ28" s="49">
        <v>0</v>
      </c>
      <c r="BK28" s="50">
        <v>0</v>
      </c>
      <c r="BL28" s="49">
        <v>33</v>
      </c>
      <c r="BM28" s="50">
        <v>100</v>
      </c>
      <c r="BN28" s="49">
        <v>33</v>
      </c>
    </row>
    <row r="29" spans="1:66" ht="15">
      <c r="A29" s="65" t="s">
        <v>251</v>
      </c>
      <c r="B29" s="65" t="s">
        <v>251</v>
      </c>
      <c r="C29" s="66" t="s">
        <v>2815</v>
      </c>
      <c r="D29" s="67">
        <v>3</v>
      </c>
      <c r="E29" s="66" t="s">
        <v>132</v>
      </c>
      <c r="F29" s="69">
        <v>32</v>
      </c>
      <c r="G29" s="66"/>
      <c r="H29" s="70"/>
      <c r="I29" s="71"/>
      <c r="J29" s="71"/>
      <c r="K29" s="35" t="s">
        <v>65</v>
      </c>
      <c r="L29" s="72">
        <v>29</v>
      </c>
      <c r="M29" s="72"/>
      <c r="N29" s="73"/>
      <c r="O29" s="80" t="s">
        <v>196</v>
      </c>
      <c r="P29" s="82">
        <v>44475.4253125</v>
      </c>
      <c r="Q29" s="80" t="s">
        <v>423</v>
      </c>
      <c r="R29" s="85" t="str">
        <f>HYPERLINK("https://www.linkedin.com/slink?code=da6jQa5d")</f>
        <v>https://www.linkedin.com/slink?code=da6jQa5d</v>
      </c>
      <c r="S29" s="80" t="s">
        <v>522</v>
      </c>
      <c r="T29" s="83" t="s">
        <v>551</v>
      </c>
      <c r="U29" s="80"/>
      <c r="V29" s="85" t="str">
        <f>HYPERLINK("https://pbs.twimg.com/profile_images/1325439685372600321/r46LiSsY_normal.jpg")</f>
        <v>https://pbs.twimg.com/profile_images/1325439685372600321/r46LiSsY_normal.jpg</v>
      </c>
      <c r="W29" s="82">
        <v>44475.4253125</v>
      </c>
      <c r="X29" s="87">
        <v>44475</v>
      </c>
      <c r="Y29" s="83" t="s">
        <v>585</v>
      </c>
      <c r="Z29" s="85" t="str">
        <f>HYPERLINK("https://twitter.com/drpaulbartels1/status/1445693429753671682")</f>
        <v>https://twitter.com/drpaulbartels1/status/1445693429753671682</v>
      </c>
      <c r="AA29" s="80"/>
      <c r="AB29" s="80"/>
      <c r="AC29" s="83" t="s">
        <v>768</v>
      </c>
      <c r="AD29" s="80"/>
      <c r="AE29" s="80" t="b">
        <v>0</v>
      </c>
      <c r="AF29" s="80">
        <v>0</v>
      </c>
      <c r="AG29" s="83" t="s">
        <v>952</v>
      </c>
      <c r="AH29" s="80" t="b">
        <v>0</v>
      </c>
      <c r="AI29" s="80" t="s">
        <v>969</v>
      </c>
      <c r="AJ29" s="80"/>
      <c r="AK29" s="83" t="s">
        <v>952</v>
      </c>
      <c r="AL29" s="80" t="b">
        <v>0</v>
      </c>
      <c r="AM29" s="80">
        <v>0</v>
      </c>
      <c r="AN29" s="83" t="s">
        <v>952</v>
      </c>
      <c r="AO29" s="83" t="s">
        <v>977</v>
      </c>
      <c r="AP29" s="80" t="b">
        <v>0</v>
      </c>
      <c r="AQ29" s="83" t="s">
        <v>768</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2</v>
      </c>
      <c r="BM29" s="50">
        <v>100</v>
      </c>
      <c r="BN29" s="49">
        <v>2</v>
      </c>
    </row>
    <row r="30" spans="1:66" ht="15">
      <c r="A30" s="65" t="s">
        <v>252</v>
      </c>
      <c r="B30" s="65" t="s">
        <v>319</v>
      </c>
      <c r="C30" s="66" t="s">
        <v>2815</v>
      </c>
      <c r="D30" s="67">
        <v>3</v>
      </c>
      <c r="E30" s="66" t="s">
        <v>132</v>
      </c>
      <c r="F30" s="69">
        <v>32</v>
      </c>
      <c r="G30" s="66"/>
      <c r="H30" s="70"/>
      <c r="I30" s="71"/>
      <c r="J30" s="71"/>
      <c r="K30" s="35" t="s">
        <v>65</v>
      </c>
      <c r="L30" s="72">
        <v>30</v>
      </c>
      <c r="M30" s="72"/>
      <c r="N30" s="73"/>
      <c r="O30" s="80" t="s">
        <v>408</v>
      </c>
      <c r="P30" s="82">
        <v>44475.479583333334</v>
      </c>
      <c r="Q30" s="80" t="s">
        <v>420</v>
      </c>
      <c r="R30" s="85" t="str">
        <f>HYPERLINK("https://vision4thefuture.co/lab-made-dairy-products/")</f>
        <v>https://vision4thefuture.co/lab-made-dairy-products/</v>
      </c>
      <c r="S30" s="80" t="s">
        <v>519</v>
      </c>
      <c r="T30" s="83" t="s">
        <v>549</v>
      </c>
      <c r="U30" s="80"/>
      <c r="V30" s="85" t="str">
        <f>HYPERLINK("https://pbs.twimg.com/profile_images/525654030639308801/ttl-7iNr_normal.jpeg")</f>
        <v>https://pbs.twimg.com/profile_images/525654030639308801/ttl-7iNr_normal.jpeg</v>
      </c>
      <c r="W30" s="82">
        <v>44475.479583333334</v>
      </c>
      <c r="X30" s="87">
        <v>44475</v>
      </c>
      <c r="Y30" s="83" t="s">
        <v>586</v>
      </c>
      <c r="Z30" s="85" t="str">
        <f>HYPERLINK("https://twitter.com/ironstar95/status/1445713096320765956")</f>
        <v>https://twitter.com/ironstar95/status/1445713096320765956</v>
      </c>
      <c r="AA30" s="80"/>
      <c r="AB30" s="80"/>
      <c r="AC30" s="83" t="s">
        <v>769</v>
      </c>
      <c r="AD30" s="80"/>
      <c r="AE30" s="80" t="b">
        <v>0</v>
      </c>
      <c r="AF30" s="80">
        <v>0</v>
      </c>
      <c r="AG30" s="83" t="s">
        <v>952</v>
      </c>
      <c r="AH30" s="80" t="b">
        <v>0</v>
      </c>
      <c r="AI30" s="80" t="s">
        <v>967</v>
      </c>
      <c r="AJ30" s="80"/>
      <c r="AK30" s="83" t="s">
        <v>952</v>
      </c>
      <c r="AL30" s="80" t="b">
        <v>0</v>
      </c>
      <c r="AM30" s="80">
        <v>39</v>
      </c>
      <c r="AN30" s="83" t="s">
        <v>847</v>
      </c>
      <c r="AO30" s="83" t="s">
        <v>972</v>
      </c>
      <c r="AP30" s="80" t="b">
        <v>0</v>
      </c>
      <c r="AQ30" s="83" t="s">
        <v>847</v>
      </c>
      <c r="AR30" s="80" t="s">
        <v>196</v>
      </c>
      <c r="AS30" s="80">
        <v>0</v>
      </c>
      <c r="AT30" s="80">
        <v>0</v>
      </c>
      <c r="AU30" s="80"/>
      <c r="AV30" s="80"/>
      <c r="AW30" s="80"/>
      <c r="AX30" s="80"/>
      <c r="AY30" s="80"/>
      <c r="AZ30" s="80"/>
      <c r="BA30" s="80"/>
      <c r="BB30" s="80"/>
      <c r="BC30">
        <v>1</v>
      </c>
      <c r="BD30" s="79" t="str">
        <f>REPLACE(INDEX(GroupVertices[Group],MATCH(Edges[[#This Row],[Vertex 1]],GroupVertices[Vertex],0)),1,1,"")</f>
        <v>7</v>
      </c>
      <c r="BE30" s="79" t="str">
        <f>REPLACE(INDEX(GroupVertices[Group],MATCH(Edges[[#This Row],[Vertex 2]],GroupVertices[Vertex],0)),1,1,"")</f>
        <v>7</v>
      </c>
      <c r="BF30" s="49">
        <v>0</v>
      </c>
      <c r="BG30" s="50">
        <v>0</v>
      </c>
      <c r="BH30" s="49">
        <v>0</v>
      </c>
      <c r="BI30" s="50">
        <v>0</v>
      </c>
      <c r="BJ30" s="49">
        <v>0</v>
      </c>
      <c r="BK30" s="50">
        <v>0</v>
      </c>
      <c r="BL30" s="49">
        <v>34</v>
      </c>
      <c r="BM30" s="50">
        <v>100</v>
      </c>
      <c r="BN30" s="49">
        <v>34</v>
      </c>
    </row>
    <row r="31" spans="1:66" ht="15">
      <c r="A31" s="65" t="s">
        <v>253</v>
      </c>
      <c r="B31" s="65" t="s">
        <v>374</v>
      </c>
      <c r="C31" s="66" t="s">
        <v>2815</v>
      </c>
      <c r="D31" s="67">
        <v>3</v>
      </c>
      <c r="E31" s="66" t="s">
        <v>132</v>
      </c>
      <c r="F31" s="69">
        <v>32</v>
      </c>
      <c r="G31" s="66"/>
      <c r="H31" s="70"/>
      <c r="I31" s="71"/>
      <c r="J31" s="71"/>
      <c r="K31" s="35" t="s">
        <v>65</v>
      </c>
      <c r="L31" s="72">
        <v>31</v>
      </c>
      <c r="M31" s="72"/>
      <c r="N31" s="73"/>
      <c r="O31" s="80" t="s">
        <v>406</v>
      </c>
      <c r="P31" s="82">
        <v>44475.54513888889</v>
      </c>
      <c r="Q31" s="80" t="s">
        <v>424</v>
      </c>
      <c r="R31" s="85" t="str">
        <f>HYPERLINK("https://www.fooddive.com/news/75-of-cell-based-meat-companies-prefer-the-term-cultivated-for-their-pro/607500/?utm_content=182314502&amp;utm_medium=social&amp;utm_source=twitter&amp;hss_channel=tw-718104481951522818")</f>
        <v>https://www.fooddive.com/news/75-of-cell-based-meat-companies-prefer-the-term-cultivated-for-their-pro/607500/?utm_content=182314502&amp;utm_medium=social&amp;utm_source=twitter&amp;hss_channel=tw-718104481951522818</v>
      </c>
      <c r="S31" s="80" t="s">
        <v>514</v>
      </c>
      <c r="T31" s="80"/>
      <c r="U31" s="80"/>
      <c r="V31" s="85" t="str">
        <f>HYPERLINK("https://pbs.twimg.com/profile_images/1304159174310408199/I93Wl_PP_normal.jpg")</f>
        <v>https://pbs.twimg.com/profile_images/1304159174310408199/I93Wl_PP_normal.jpg</v>
      </c>
      <c r="W31" s="82">
        <v>44475.54513888889</v>
      </c>
      <c r="X31" s="87">
        <v>44475</v>
      </c>
      <c r="Y31" s="83" t="s">
        <v>587</v>
      </c>
      <c r="Z31" s="85" t="str">
        <f>HYPERLINK("https://twitter.com/blacksmithapps/status/1445736850136522758")</f>
        <v>https://twitter.com/blacksmithapps/status/1445736850136522758</v>
      </c>
      <c r="AA31" s="80"/>
      <c r="AB31" s="80"/>
      <c r="AC31" s="83" t="s">
        <v>770</v>
      </c>
      <c r="AD31" s="80"/>
      <c r="AE31" s="80" t="b">
        <v>0</v>
      </c>
      <c r="AF31" s="80">
        <v>0</v>
      </c>
      <c r="AG31" s="83" t="s">
        <v>952</v>
      </c>
      <c r="AH31" s="80" t="b">
        <v>0</v>
      </c>
      <c r="AI31" s="80" t="s">
        <v>967</v>
      </c>
      <c r="AJ31" s="80"/>
      <c r="AK31" s="83" t="s">
        <v>952</v>
      </c>
      <c r="AL31" s="80" t="b">
        <v>0</v>
      </c>
      <c r="AM31" s="80">
        <v>0</v>
      </c>
      <c r="AN31" s="83" t="s">
        <v>952</v>
      </c>
      <c r="AO31" s="83" t="s">
        <v>978</v>
      </c>
      <c r="AP31" s="80" t="b">
        <v>0</v>
      </c>
      <c r="AQ31" s="83" t="s">
        <v>770</v>
      </c>
      <c r="AR31" s="80" t="s">
        <v>196</v>
      </c>
      <c r="AS31" s="80">
        <v>0</v>
      </c>
      <c r="AT31" s="80">
        <v>0</v>
      </c>
      <c r="AU31" s="80"/>
      <c r="AV31" s="80"/>
      <c r="AW31" s="80"/>
      <c r="AX31" s="80"/>
      <c r="AY31" s="80"/>
      <c r="AZ31" s="80"/>
      <c r="BA31" s="80"/>
      <c r="BB31" s="80"/>
      <c r="BC31">
        <v>1</v>
      </c>
      <c r="BD31" s="79" t="str">
        <f>REPLACE(INDEX(GroupVertices[Group],MATCH(Edges[[#This Row],[Vertex 1]],GroupVertices[Vertex],0)),1,1,"")</f>
        <v>25</v>
      </c>
      <c r="BE31" s="79" t="str">
        <f>REPLACE(INDEX(GroupVertices[Group],MATCH(Edges[[#This Row],[Vertex 2]],GroupVertices[Vertex],0)),1,1,"")</f>
        <v>25</v>
      </c>
      <c r="BF31" s="49">
        <v>1</v>
      </c>
      <c r="BG31" s="50">
        <v>7.142857142857143</v>
      </c>
      <c r="BH31" s="49">
        <v>0</v>
      </c>
      <c r="BI31" s="50">
        <v>0</v>
      </c>
      <c r="BJ31" s="49">
        <v>0</v>
      </c>
      <c r="BK31" s="50">
        <v>0</v>
      </c>
      <c r="BL31" s="49">
        <v>13</v>
      </c>
      <c r="BM31" s="50">
        <v>92.85714285714286</v>
      </c>
      <c r="BN31" s="49">
        <v>14</v>
      </c>
    </row>
    <row r="32" spans="1:66" ht="15">
      <c r="A32" s="65" t="s">
        <v>254</v>
      </c>
      <c r="B32" s="65" t="s">
        <v>255</v>
      </c>
      <c r="C32" s="66" t="s">
        <v>2815</v>
      </c>
      <c r="D32" s="67">
        <v>3</v>
      </c>
      <c r="E32" s="66" t="s">
        <v>132</v>
      </c>
      <c r="F32" s="69">
        <v>32</v>
      </c>
      <c r="G32" s="66"/>
      <c r="H32" s="70"/>
      <c r="I32" s="71"/>
      <c r="J32" s="71"/>
      <c r="K32" s="35" t="s">
        <v>65</v>
      </c>
      <c r="L32" s="72">
        <v>32</v>
      </c>
      <c r="M32" s="72"/>
      <c r="N32" s="73"/>
      <c r="O32" s="80" t="s">
        <v>408</v>
      </c>
      <c r="P32" s="82">
        <v>44475.66135416667</v>
      </c>
      <c r="Q32" s="80" t="s">
        <v>425</v>
      </c>
      <c r="R32" s="85" t="str">
        <f>HYPERLINK("https://engrxiv.org/795su")</f>
        <v>https://engrxiv.org/795su</v>
      </c>
      <c r="S32" s="80" t="s">
        <v>523</v>
      </c>
      <c r="T32" s="80"/>
      <c r="U32" s="80"/>
      <c r="V32" s="85" t="str">
        <f>HYPERLINK("https://pbs.twimg.com/profile_images/452047074813419520/xZcPzubX_normal.jpeg")</f>
        <v>https://pbs.twimg.com/profile_images/452047074813419520/xZcPzubX_normal.jpeg</v>
      </c>
      <c r="W32" s="82">
        <v>44475.66135416667</v>
      </c>
      <c r="X32" s="87">
        <v>44475</v>
      </c>
      <c r="Y32" s="83" t="s">
        <v>588</v>
      </c>
      <c r="Z32" s="85" t="str">
        <f>HYPERLINK("https://twitter.com/80000hours/status/1445778968225878028")</f>
        <v>https://twitter.com/80000hours/status/1445778968225878028</v>
      </c>
      <c r="AA32" s="80"/>
      <c r="AB32" s="80"/>
      <c r="AC32" s="83" t="s">
        <v>771</v>
      </c>
      <c r="AD32" s="80"/>
      <c r="AE32" s="80" t="b">
        <v>0</v>
      </c>
      <c r="AF32" s="80">
        <v>0</v>
      </c>
      <c r="AG32" s="83" t="s">
        <v>952</v>
      </c>
      <c r="AH32" s="80" t="b">
        <v>0</v>
      </c>
      <c r="AI32" s="80" t="s">
        <v>967</v>
      </c>
      <c r="AJ32" s="80"/>
      <c r="AK32" s="83" t="s">
        <v>952</v>
      </c>
      <c r="AL32" s="80" t="b">
        <v>0</v>
      </c>
      <c r="AM32" s="80">
        <v>2</v>
      </c>
      <c r="AN32" s="83" t="s">
        <v>772</v>
      </c>
      <c r="AO32" s="83" t="s">
        <v>972</v>
      </c>
      <c r="AP32" s="80" t="b">
        <v>0</v>
      </c>
      <c r="AQ32" s="83" t="s">
        <v>772</v>
      </c>
      <c r="AR32" s="80" t="s">
        <v>196</v>
      </c>
      <c r="AS32" s="80">
        <v>0</v>
      </c>
      <c r="AT32" s="80">
        <v>0</v>
      </c>
      <c r="AU32" s="80"/>
      <c r="AV32" s="80"/>
      <c r="AW32" s="80"/>
      <c r="AX32" s="80"/>
      <c r="AY32" s="80"/>
      <c r="AZ32" s="80"/>
      <c r="BA32" s="80"/>
      <c r="BB32" s="80"/>
      <c r="BC32">
        <v>1</v>
      </c>
      <c r="BD32" s="79" t="str">
        <f>REPLACE(INDEX(GroupVertices[Group],MATCH(Edges[[#This Row],[Vertex 1]],GroupVertices[Vertex],0)),1,1,"")</f>
        <v>15</v>
      </c>
      <c r="BE32" s="79" t="str">
        <f>REPLACE(INDEX(GroupVertices[Group],MATCH(Edges[[#This Row],[Vertex 2]],GroupVertices[Vertex],0)),1,1,"")</f>
        <v>15</v>
      </c>
      <c r="BF32" s="49">
        <v>1</v>
      </c>
      <c r="BG32" s="50">
        <v>3.5714285714285716</v>
      </c>
      <c r="BH32" s="49">
        <v>2</v>
      </c>
      <c r="BI32" s="50">
        <v>7.142857142857143</v>
      </c>
      <c r="BJ32" s="49">
        <v>0</v>
      </c>
      <c r="BK32" s="50">
        <v>0</v>
      </c>
      <c r="BL32" s="49">
        <v>25</v>
      </c>
      <c r="BM32" s="50">
        <v>89.28571428571429</v>
      </c>
      <c r="BN32" s="49">
        <v>28</v>
      </c>
    </row>
    <row r="33" spans="1:66" ht="15">
      <c r="A33" s="65" t="s">
        <v>255</v>
      </c>
      <c r="B33" s="65" t="s">
        <v>255</v>
      </c>
      <c r="C33" s="66" t="s">
        <v>2815</v>
      </c>
      <c r="D33" s="67">
        <v>3</v>
      </c>
      <c r="E33" s="66" t="s">
        <v>132</v>
      </c>
      <c r="F33" s="69">
        <v>32</v>
      </c>
      <c r="G33" s="66"/>
      <c r="H33" s="70"/>
      <c r="I33" s="71"/>
      <c r="J33" s="71"/>
      <c r="K33" s="35" t="s">
        <v>65</v>
      </c>
      <c r="L33" s="72">
        <v>33</v>
      </c>
      <c r="M33" s="72"/>
      <c r="N33" s="73"/>
      <c r="O33" s="80" t="s">
        <v>196</v>
      </c>
      <c r="P33" s="82">
        <v>44475.66122685185</v>
      </c>
      <c r="Q33" s="80" t="s">
        <v>425</v>
      </c>
      <c r="R33" s="85" t="str">
        <f>HYPERLINK("https://engrxiv.org/795su")</f>
        <v>https://engrxiv.org/795su</v>
      </c>
      <c r="S33" s="80" t="s">
        <v>523</v>
      </c>
      <c r="T33" s="80"/>
      <c r="U33" s="80"/>
      <c r="V33" s="85" t="str">
        <f>HYPERLINK("https://pbs.twimg.com/profile_images/1325208743873667073/Zo-6k3LB_normal.jpg")</f>
        <v>https://pbs.twimg.com/profile_images/1325208743873667073/Zo-6k3LB_normal.jpg</v>
      </c>
      <c r="W33" s="82">
        <v>44475.66122685185</v>
      </c>
      <c r="X33" s="87">
        <v>44475</v>
      </c>
      <c r="Y33" s="83" t="s">
        <v>589</v>
      </c>
      <c r="Z33" s="85" t="str">
        <f>HYPERLINK("https://twitter.com/robertwiblin/status/1445778918896660481")</f>
        <v>https://twitter.com/robertwiblin/status/1445778918896660481</v>
      </c>
      <c r="AA33" s="80"/>
      <c r="AB33" s="80"/>
      <c r="AC33" s="83" t="s">
        <v>772</v>
      </c>
      <c r="AD33" s="80"/>
      <c r="AE33" s="80" t="b">
        <v>0</v>
      </c>
      <c r="AF33" s="80">
        <v>13</v>
      </c>
      <c r="AG33" s="83" t="s">
        <v>952</v>
      </c>
      <c r="AH33" s="80" t="b">
        <v>0</v>
      </c>
      <c r="AI33" s="80" t="s">
        <v>967</v>
      </c>
      <c r="AJ33" s="80"/>
      <c r="AK33" s="83" t="s">
        <v>952</v>
      </c>
      <c r="AL33" s="80" t="b">
        <v>0</v>
      </c>
      <c r="AM33" s="80">
        <v>2</v>
      </c>
      <c r="AN33" s="83" t="s">
        <v>952</v>
      </c>
      <c r="AO33" s="83" t="s">
        <v>972</v>
      </c>
      <c r="AP33" s="80" t="b">
        <v>0</v>
      </c>
      <c r="AQ33" s="83" t="s">
        <v>772</v>
      </c>
      <c r="AR33" s="80" t="s">
        <v>196</v>
      </c>
      <c r="AS33" s="80">
        <v>0</v>
      </c>
      <c r="AT33" s="80">
        <v>0</v>
      </c>
      <c r="AU33" s="80"/>
      <c r="AV33" s="80"/>
      <c r="AW33" s="80"/>
      <c r="AX33" s="80"/>
      <c r="AY33" s="80"/>
      <c r="AZ33" s="80"/>
      <c r="BA33" s="80"/>
      <c r="BB33" s="80"/>
      <c r="BC33">
        <v>1</v>
      </c>
      <c r="BD33" s="79" t="str">
        <f>REPLACE(INDEX(GroupVertices[Group],MATCH(Edges[[#This Row],[Vertex 1]],GroupVertices[Vertex],0)),1,1,"")</f>
        <v>15</v>
      </c>
      <c r="BE33" s="79" t="str">
        <f>REPLACE(INDEX(GroupVertices[Group],MATCH(Edges[[#This Row],[Vertex 2]],GroupVertices[Vertex],0)),1,1,"")</f>
        <v>15</v>
      </c>
      <c r="BF33" s="49">
        <v>1</v>
      </c>
      <c r="BG33" s="50">
        <v>3.5714285714285716</v>
      </c>
      <c r="BH33" s="49">
        <v>2</v>
      </c>
      <c r="BI33" s="50">
        <v>7.142857142857143</v>
      </c>
      <c r="BJ33" s="49">
        <v>0</v>
      </c>
      <c r="BK33" s="50">
        <v>0</v>
      </c>
      <c r="BL33" s="49">
        <v>25</v>
      </c>
      <c r="BM33" s="50">
        <v>89.28571428571429</v>
      </c>
      <c r="BN33" s="49">
        <v>28</v>
      </c>
    </row>
    <row r="34" spans="1:66" ht="15">
      <c r="A34" s="65" t="s">
        <v>256</v>
      </c>
      <c r="B34" s="65" t="s">
        <v>255</v>
      </c>
      <c r="C34" s="66" t="s">
        <v>2815</v>
      </c>
      <c r="D34" s="67">
        <v>3</v>
      </c>
      <c r="E34" s="66" t="s">
        <v>132</v>
      </c>
      <c r="F34" s="69">
        <v>32</v>
      </c>
      <c r="G34" s="66"/>
      <c r="H34" s="70"/>
      <c r="I34" s="71"/>
      <c r="J34" s="71"/>
      <c r="K34" s="35" t="s">
        <v>65</v>
      </c>
      <c r="L34" s="72">
        <v>34</v>
      </c>
      <c r="M34" s="72"/>
      <c r="N34" s="73"/>
      <c r="O34" s="80" t="s">
        <v>408</v>
      </c>
      <c r="P34" s="82">
        <v>44475.66304398148</v>
      </c>
      <c r="Q34" s="80" t="s">
        <v>425</v>
      </c>
      <c r="R34" s="85" t="str">
        <f>HYPERLINK("https://engrxiv.org/795su")</f>
        <v>https://engrxiv.org/795su</v>
      </c>
      <c r="S34" s="80" t="s">
        <v>523</v>
      </c>
      <c r="T34" s="80"/>
      <c r="U34" s="80"/>
      <c r="V34" s="85" t="str">
        <f>HYPERLINK("https://pbs.twimg.com/profile_images/1246077080028102657/p3hnfpAg_normal.jpg")</f>
        <v>https://pbs.twimg.com/profile_images/1246077080028102657/p3hnfpAg_normal.jpg</v>
      </c>
      <c r="W34" s="82">
        <v>44475.66304398148</v>
      </c>
      <c r="X34" s="87">
        <v>44475</v>
      </c>
      <c r="Y34" s="83" t="s">
        <v>590</v>
      </c>
      <c r="Z34" s="85" t="str">
        <f>HYPERLINK("https://twitter.com/simonfriederich/status/1445779577586937865")</f>
        <v>https://twitter.com/simonfriederich/status/1445779577586937865</v>
      </c>
      <c r="AA34" s="80"/>
      <c r="AB34" s="80"/>
      <c r="AC34" s="83" t="s">
        <v>773</v>
      </c>
      <c r="AD34" s="80"/>
      <c r="AE34" s="80" t="b">
        <v>0</v>
      </c>
      <c r="AF34" s="80">
        <v>0</v>
      </c>
      <c r="AG34" s="83" t="s">
        <v>952</v>
      </c>
      <c r="AH34" s="80" t="b">
        <v>0</v>
      </c>
      <c r="AI34" s="80" t="s">
        <v>967</v>
      </c>
      <c r="AJ34" s="80"/>
      <c r="AK34" s="83" t="s">
        <v>952</v>
      </c>
      <c r="AL34" s="80" t="b">
        <v>0</v>
      </c>
      <c r="AM34" s="80">
        <v>2</v>
      </c>
      <c r="AN34" s="83" t="s">
        <v>772</v>
      </c>
      <c r="AO34" s="83" t="s">
        <v>972</v>
      </c>
      <c r="AP34" s="80" t="b">
        <v>0</v>
      </c>
      <c r="AQ34" s="83" t="s">
        <v>772</v>
      </c>
      <c r="AR34" s="80" t="s">
        <v>196</v>
      </c>
      <c r="AS34" s="80">
        <v>0</v>
      </c>
      <c r="AT34" s="80">
        <v>0</v>
      </c>
      <c r="AU34" s="80"/>
      <c r="AV34" s="80"/>
      <c r="AW34" s="80"/>
      <c r="AX34" s="80"/>
      <c r="AY34" s="80"/>
      <c r="AZ34" s="80"/>
      <c r="BA34" s="80"/>
      <c r="BB34" s="80"/>
      <c r="BC34">
        <v>1</v>
      </c>
      <c r="BD34" s="79" t="str">
        <f>REPLACE(INDEX(GroupVertices[Group],MATCH(Edges[[#This Row],[Vertex 1]],GroupVertices[Vertex],0)),1,1,"")</f>
        <v>15</v>
      </c>
      <c r="BE34" s="79" t="str">
        <f>REPLACE(INDEX(GroupVertices[Group],MATCH(Edges[[#This Row],[Vertex 2]],GroupVertices[Vertex],0)),1,1,"")</f>
        <v>15</v>
      </c>
      <c r="BF34" s="49">
        <v>1</v>
      </c>
      <c r="BG34" s="50">
        <v>3.5714285714285716</v>
      </c>
      <c r="BH34" s="49">
        <v>2</v>
      </c>
      <c r="BI34" s="50">
        <v>7.142857142857143</v>
      </c>
      <c r="BJ34" s="49">
        <v>0</v>
      </c>
      <c r="BK34" s="50">
        <v>0</v>
      </c>
      <c r="BL34" s="49">
        <v>25</v>
      </c>
      <c r="BM34" s="50">
        <v>89.28571428571429</v>
      </c>
      <c r="BN34" s="49">
        <v>28</v>
      </c>
    </row>
    <row r="35" spans="1:66" ht="15">
      <c r="A35" s="65" t="s">
        <v>257</v>
      </c>
      <c r="B35" s="65" t="s">
        <v>375</v>
      </c>
      <c r="C35" s="66" t="s">
        <v>2815</v>
      </c>
      <c r="D35" s="67">
        <v>3</v>
      </c>
      <c r="E35" s="66" t="s">
        <v>132</v>
      </c>
      <c r="F35" s="69">
        <v>32</v>
      </c>
      <c r="G35" s="66"/>
      <c r="H35" s="70"/>
      <c r="I35" s="71"/>
      <c r="J35" s="71"/>
      <c r="K35" s="35" t="s">
        <v>65</v>
      </c>
      <c r="L35" s="72">
        <v>35</v>
      </c>
      <c r="M35" s="72"/>
      <c r="N35" s="73"/>
      <c r="O35" s="80" t="s">
        <v>406</v>
      </c>
      <c r="P35" s="82">
        <v>44475.795219907406</v>
      </c>
      <c r="Q35" s="80" t="s">
        <v>426</v>
      </c>
      <c r="R35" s="85" t="str">
        <f>HYPERLINK("https://vegconomist.com/cultivated/herotein-partners-with-mission-barns-to-bring-first-hybrid-cultivated-plant-based-meat-products-to-china/")</f>
        <v>https://vegconomist.com/cultivated/herotein-partners-with-mission-barns-to-bring-first-hybrid-cultivated-plant-based-meat-products-to-china/</v>
      </c>
      <c r="S35" s="80" t="s">
        <v>524</v>
      </c>
      <c r="T35" s="80"/>
      <c r="U35" s="80"/>
      <c r="V35" s="85" t="str">
        <f>HYPERLINK("https://pbs.twimg.com/profile_images/930182223554154496/VFXs_YZI_normal.jpg")</f>
        <v>https://pbs.twimg.com/profile_images/930182223554154496/VFXs_YZI_normal.jpg</v>
      </c>
      <c r="W35" s="82">
        <v>44475.795219907406</v>
      </c>
      <c r="X35" s="87">
        <v>44475</v>
      </c>
      <c r="Y35" s="83" t="s">
        <v>591</v>
      </c>
      <c r="Z35" s="85" t="str">
        <f>HYPERLINK("https://twitter.com/joyancepartners/status/1445827476492591106")</f>
        <v>https://twitter.com/joyancepartners/status/1445827476492591106</v>
      </c>
      <c r="AA35" s="80"/>
      <c r="AB35" s="80"/>
      <c r="AC35" s="83" t="s">
        <v>774</v>
      </c>
      <c r="AD35" s="80"/>
      <c r="AE35" s="80" t="b">
        <v>0</v>
      </c>
      <c r="AF35" s="80">
        <v>0</v>
      </c>
      <c r="AG35" s="83" t="s">
        <v>952</v>
      </c>
      <c r="AH35" s="80" t="b">
        <v>0</v>
      </c>
      <c r="AI35" s="80" t="s">
        <v>967</v>
      </c>
      <c r="AJ35" s="80"/>
      <c r="AK35" s="83" t="s">
        <v>952</v>
      </c>
      <c r="AL35" s="80" t="b">
        <v>0</v>
      </c>
      <c r="AM35" s="80">
        <v>0</v>
      </c>
      <c r="AN35" s="83" t="s">
        <v>952</v>
      </c>
      <c r="AO35" s="83" t="s">
        <v>974</v>
      </c>
      <c r="AP35" s="80" t="b">
        <v>0</v>
      </c>
      <c r="AQ35" s="83" t="s">
        <v>774</v>
      </c>
      <c r="AR35" s="80" t="s">
        <v>196</v>
      </c>
      <c r="AS35" s="80">
        <v>0</v>
      </c>
      <c r="AT35" s="80">
        <v>0</v>
      </c>
      <c r="AU35" s="80"/>
      <c r="AV35" s="80"/>
      <c r="AW35" s="80"/>
      <c r="AX35" s="80"/>
      <c r="AY35" s="80"/>
      <c r="AZ35" s="80"/>
      <c r="BA35" s="80"/>
      <c r="BB35" s="80"/>
      <c r="BC35">
        <v>1</v>
      </c>
      <c r="BD35" s="79" t="str">
        <f>REPLACE(INDEX(GroupVertices[Group],MATCH(Edges[[#This Row],[Vertex 1]],GroupVertices[Vertex],0)),1,1,"")</f>
        <v>5</v>
      </c>
      <c r="BE35" s="79" t="str">
        <f>REPLACE(INDEX(GroupVertices[Group],MATCH(Edges[[#This Row],[Vertex 2]],GroupVertices[Vertex],0)),1,1,"")</f>
        <v>5</v>
      </c>
      <c r="BF35" s="49"/>
      <c r="BG35" s="50"/>
      <c r="BH35" s="49"/>
      <c r="BI35" s="50"/>
      <c r="BJ35" s="49"/>
      <c r="BK35" s="50"/>
      <c r="BL35" s="49"/>
      <c r="BM35" s="50"/>
      <c r="BN35" s="49"/>
    </row>
    <row r="36" spans="1:66" ht="15">
      <c r="A36" s="65" t="s">
        <v>258</v>
      </c>
      <c r="B36" s="65" t="s">
        <v>376</v>
      </c>
      <c r="C36" s="66" t="s">
        <v>2815</v>
      </c>
      <c r="D36" s="67">
        <v>3</v>
      </c>
      <c r="E36" s="66" t="s">
        <v>132</v>
      </c>
      <c r="F36" s="69">
        <v>32</v>
      </c>
      <c r="G36" s="66"/>
      <c r="H36" s="70"/>
      <c r="I36" s="71"/>
      <c r="J36" s="71"/>
      <c r="K36" s="35" t="s">
        <v>65</v>
      </c>
      <c r="L36" s="72">
        <v>36</v>
      </c>
      <c r="M36" s="72"/>
      <c r="N36" s="73"/>
      <c r="O36" s="80" t="s">
        <v>406</v>
      </c>
      <c r="P36" s="82">
        <v>44470.63309027778</v>
      </c>
      <c r="Q36" s="80" t="s">
        <v>427</v>
      </c>
      <c r="R36" s="85" t="str">
        <f>HYPERLINK("https://vegconomist.com/cultivated/herotein-partners-with-mission-barns-to-bring-first-hybrid-cultivated-plant-based-meat-products-to-china/")</f>
        <v>https://vegconomist.com/cultivated/herotein-partners-with-mission-barns-to-bring-first-hybrid-cultivated-plant-based-meat-products-to-china/</v>
      </c>
      <c r="S36" s="80" t="s">
        <v>524</v>
      </c>
      <c r="T36" s="80"/>
      <c r="U36" s="85" t="str">
        <f>HYPERLINK("https://pbs.twimg.com/media/FAn0mgSWQCc1zjB.jpg")</f>
        <v>https://pbs.twimg.com/media/FAn0mgSWQCc1zjB.jpg</v>
      </c>
      <c r="V36" s="85" t="str">
        <f>HYPERLINK("https://pbs.twimg.com/media/FAn0mgSWQCc1zjB.jpg")</f>
        <v>https://pbs.twimg.com/media/FAn0mgSWQCc1zjB.jpg</v>
      </c>
      <c r="W36" s="82">
        <v>44470.63309027778</v>
      </c>
      <c r="X36" s="87">
        <v>44470</v>
      </c>
      <c r="Y36" s="83" t="s">
        <v>592</v>
      </c>
      <c r="Z36" s="85" t="str">
        <f>HYPERLINK("https://twitter.com/goodfoodinst/status/1443956785384202241")</f>
        <v>https://twitter.com/goodfoodinst/status/1443956785384202241</v>
      </c>
      <c r="AA36" s="80"/>
      <c r="AB36" s="80"/>
      <c r="AC36" s="83" t="s">
        <v>775</v>
      </c>
      <c r="AD36" s="80"/>
      <c r="AE36" s="80" t="b">
        <v>0</v>
      </c>
      <c r="AF36" s="80">
        <v>15</v>
      </c>
      <c r="AG36" s="83" t="s">
        <v>952</v>
      </c>
      <c r="AH36" s="80" t="b">
        <v>0</v>
      </c>
      <c r="AI36" s="80" t="s">
        <v>967</v>
      </c>
      <c r="AJ36" s="80"/>
      <c r="AK36" s="83" t="s">
        <v>952</v>
      </c>
      <c r="AL36" s="80" t="b">
        <v>0</v>
      </c>
      <c r="AM36" s="80">
        <v>2</v>
      </c>
      <c r="AN36" s="83" t="s">
        <v>952</v>
      </c>
      <c r="AO36" s="83" t="s">
        <v>972</v>
      </c>
      <c r="AP36" s="80" t="b">
        <v>0</v>
      </c>
      <c r="AQ36" s="83" t="s">
        <v>775</v>
      </c>
      <c r="AR36" s="80" t="s">
        <v>408</v>
      </c>
      <c r="AS36" s="80">
        <v>0</v>
      </c>
      <c r="AT36" s="80">
        <v>0</v>
      </c>
      <c r="AU36" s="80"/>
      <c r="AV36" s="80"/>
      <c r="AW36" s="80"/>
      <c r="AX36" s="80"/>
      <c r="AY36" s="80"/>
      <c r="AZ36" s="80"/>
      <c r="BA36" s="80"/>
      <c r="BB36" s="80"/>
      <c r="BC36">
        <v>1</v>
      </c>
      <c r="BD36" s="79" t="str">
        <f>REPLACE(INDEX(GroupVertices[Group],MATCH(Edges[[#This Row],[Vertex 1]],GroupVertices[Vertex],0)),1,1,"")</f>
        <v>5</v>
      </c>
      <c r="BE36" s="79" t="str">
        <f>REPLACE(INDEX(GroupVertices[Group],MATCH(Edges[[#This Row],[Vertex 2]],GroupVertices[Vertex],0)),1,1,"")</f>
        <v>5</v>
      </c>
      <c r="BF36" s="49">
        <v>1</v>
      </c>
      <c r="BG36" s="50">
        <v>2.5</v>
      </c>
      <c r="BH36" s="49">
        <v>2</v>
      </c>
      <c r="BI36" s="50">
        <v>5</v>
      </c>
      <c r="BJ36" s="49">
        <v>0</v>
      </c>
      <c r="BK36" s="50">
        <v>0</v>
      </c>
      <c r="BL36" s="49">
        <v>37</v>
      </c>
      <c r="BM36" s="50">
        <v>92.5</v>
      </c>
      <c r="BN36" s="49">
        <v>40</v>
      </c>
    </row>
    <row r="37" spans="1:66" ht="15">
      <c r="A37" s="65" t="s">
        <v>257</v>
      </c>
      <c r="B37" s="65" t="s">
        <v>376</v>
      </c>
      <c r="C37" s="66" t="s">
        <v>2815</v>
      </c>
      <c r="D37" s="67">
        <v>3</v>
      </c>
      <c r="E37" s="66" t="s">
        <v>132</v>
      </c>
      <c r="F37" s="69">
        <v>32</v>
      </c>
      <c r="G37" s="66"/>
      <c r="H37" s="70"/>
      <c r="I37" s="71"/>
      <c r="J37" s="71"/>
      <c r="K37" s="35" t="s">
        <v>65</v>
      </c>
      <c r="L37" s="72">
        <v>37</v>
      </c>
      <c r="M37" s="72"/>
      <c r="N37" s="73"/>
      <c r="O37" s="80" t="s">
        <v>407</v>
      </c>
      <c r="P37" s="82">
        <v>44474.73490740741</v>
      </c>
      <c r="Q37" s="80" t="s">
        <v>427</v>
      </c>
      <c r="R37" s="85" t="str">
        <f>HYPERLINK("https://vegconomist.com/cultivated/herotein-partners-with-mission-barns-to-bring-first-hybrid-cultivated-plant-based-meat-products-to-china/")</f>
        <v>https://vegconomist.com/cultivated/herotein-partners-with-mission-barns-to-bring-first-hybrid-cultivated-plant-based-meat-products-to-china/</v>
      </c>
      <c r="S37" s="80" t="s">
        <v>524</v>
      </c>
      <c r="T37" s="80"/>
      <c r="U37" s="85" t="str">
        <f>HYPERLINK("https://pbs.twimg.com/media/FAn0mgSWQCc1zjB.jpg")</f>
        <v>https://pbs.twimg.com/media/FAn0mgSWQCc1zjB.jpg</v>
      </c>
      <c r="V37" s="85" t="str">
        <f>HYPERLINK("https://pbs.twimg.com/media/FAn0mgSWQCc1zjB.jpg")</f>
        <v>https://pbs.twimg.com/media/FAn0mgSWQCc1zjB.jpg</v>
      </c>
      <c r="W37" s="82">
        <v>44474.73490740741</v>
      </c>
      <c r="X37" s="87">
        <v>44474</v>
      </c>
      <c r="Y37" s="83" t="s">
        <v>593</v>
      </c>
      <c r="Z37" s="85" t="str">
        <f>HYPERLINK("https://twitter.com/joyancepartners/status/1445443233916416003")</f>
        <v>https://twitter.com/joyancepartners/status/1445443233916416003</v>
      </c>
      <c r="AA37" s="80"/>
      <c r="AB37" s="80"/>
      <c r="AC37" s="83" t="s">
        <v>776</v>
      </c>
      <c r="AD37" s="80"/>
      <c r="AE37" s="80" t="b">
        <v>0</v>
      </c>
      <c r="AF37" s="80">
        <v>0</v>
      </c>
      <c r="AG37" s="83" t="s">
        <v>952</v>
      </c>
      <c r="AH37" s="80" t="b">
        <v>0</v>
      </c>
      <c r="AI37" s="80" t="s">
        <v>967</v>
      </c>
      <c r="AJ37" s="80"/>
      <c r="AK37" s="83" t="s">
        <v>952</v>
      </c>
      <c r="AL37" s="80" t="b">
        <v>0</v>
      </c>
      <c r="AM37" s="80">
        <v>2</v>
      </c>
      <c r="AN37" s="83" t="s">
        <v>775</v>
      </c>
      <c r="AO37" s="83" t="s">
        <v>972</v>
      </c>
      <c r="AP37" s="80" t="b">
        <v>0</v>
      </c>
      <c r="AQ37" s="83" t="s">
        <v>775</v>
      </c>
      <c r="AR37" s="80" t="s">
        <v>196</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49">
        <v>1</v>
      </c>
      <c r="BG37" s="50">
        <v>2.5</v>
      </c>
      <c r="BH37" s="49">
        <v>2</v>
      </c>
      <c r="BI37" s="50">
        <v>5</v>
      </c>
      <c r="BJ37" s="49">
        <v>0</v>
      </c>
      <c r="BK37" s="50">
        <v>0</v>
      </c>
      <c r="BL37" s="49">
        <v>37</v>
      </c>
      <c r="BM37" s="50">
        <v>92.5</v>
      </c>
      <c r="BN37" s="49">
        <v>40</v>
      </c>
    </row>
    <row r="38" spans="1:66" ht="15">
      <c r="A38" s="65" t="s">
        <v>257</v>
      </c>
      <c r="B38" s="65" t="s">
        <v>376</v>
      </c>
      <c r="C38" s="66" t="s">
        <v>2815</v>
      </c>
      <c r="D38" s="67">
        <v>3</v>
      </c>
      <c r="E38" s="66" t="s">
        <v>132</v>
      </c>
      <c r="F38" s="69">
        <v>32</v>
      </c>
      <c r="G38" s="66"/>
      <c r="H38" s="70"/>
      <c r="I38" s="71"/>
      <c r="J38" s="71"/>
      <c r="K38" s="35" t="s">
        <v>65</v>
      </c>
      <c r="L38" s="72">
        <v>38</v>
      </c>
      <c r="M38" s="72"/>
      <c r="N38" s="73"/>
      <c r="O38" s="80" t="s">
        <v>406</v>
      </c>
      <c r="P38" s="82">
        <v>44475.795219907406</v>
      </c>
      <c r="Q38" s="80" t="s">
        <v>426</v>
      </c>
      <c r="R38" s="85" t="str">
        <f>HYPERLINK("https://vegconomist.com/cultivated/herotein-partners-with-mission-barns-to-bring-first-hybrid-cultivated-plant-based-meat-products-to-china/")</f>
        <v>https://vegconomist.com/cultivated/herotein-partners-with-mission-barns-to-bring-first-hybrid-cultivated-plant-based-meat-products-to-china/</v>
      </c>
      <c r="S38" s="80" t="s">
        <v>524</v>
      </c>
      <c r="T38" s="80"/>
      <c r="U38" s="80"/>
      <c r="V38" s="85" t="str">
        <f>HYPERLINK("https://pbs.twimg.com/profile_images/930182223554154496/VFXs_YZI_normal.jpg")</f>
        <v>https://pbs.twimg.com/profile_images/930182223554154496/VFXs_YZI_normal.jpg</v>
      </c>
      <c r="W38" s="82">
        <v>44475.795219907406</v>
      </c>
      <c r="X38" s="87">
        <v>44475</v>
      </c>
      <c r="Y38" s="83" t="s">
        <v>591</v>
      </c>
      <c r="Z38" s="85" t="str">
        <f>HYPERLINK("https://twitter.com/joyancepartners/status/1445827476492591106")</f>
        <v>https://twitter.com/joyancepartners/status/1445827476492591106</v>
      </c>
      <c r="AA38" s="80"/>
      <c r="AB38" s="80"/>
      <c r="AC38" s="83" t="s">
        <v>774</v>
      </c>
      <c r="AD38" s="80"/>
      <c r="AE38" s="80" t="b">
        <v>0</v>
      </c>
      <c r="AF38" s="80">
        <v>0</v>
      </c>
      <c r="AG38" s="83" t="s">
        <v>952</v>
      </c>
      <c r="AH38" s="80" t="b">
        <v>0</v>
      </c>
      <c r="AI38" s="80" t="s">
        <v>967</v>
      </c>
      <c r="AJ38" s="80"/>
      <c r="AK38" s="83" t="s">
        <v>952</v>
      </c>
      <c r="AL38" s="80" t="b">
        <v>0</v>
      </c>
      <c r="AM38" s="80">
        <v>0</v>
      </c>
      <c r="AN38" s="83" t="s">
        <v>952</v>
      </c>
      <c r="AO38" s="83" t="s">
        <v>974</v>
      </c>
      <c r="AP38" s="80" t="b">
        <v>0</v>
      </c>
      <c r="AQ38" s="83" t="s">
        <v>774</v>
      </c>
      <c r="AR38" s="80" t="s">
        <v>196</v>
      </c>
      <c r="AS38" s="80">
        <v>0</v>
      </c>
      <c r="AT38" s="80">
        <v>0</v>
      </c>
      <c r="AU38" s="80"/>
      <c r="AV38" s="80"/>
      <c r="AW38" s="80"/>
      <c r="AX38" s="80"/>
      <c r="AY38" s="80"/>
      <c r="AZ38" s="80"/>
      <c r="BA38" s="80"/>
      <c r="BB38" s="80"/>
      <c r="BC38">
        <v>1</v>
      </c>
      <c r="BD38" s="79" t="str">
        <f>REPLACE(INDEX(GroupVertices[Group],MATCH(Edges[[#This Row],[Vertex 1]],GroupVertices[Vertex],0)),1,1,"")</f>
        <v>5</v>
      </c>
      <c r="BE38" s="79" t="str">
        <f>REPLACE(INDEX(GroupVertices[Group],MATCH(Edges[[#This Row],[Vertex 2]],GroupVertices[Vertex],0)),1,1,"")</f>
        <v>5</v>
      </c>
      <c r="BF38" s="49">
        <v>1</v>
      </c>
      <c r="BG38" s="50">
        <v>2.4390243902439024</v>
      </c>
      <c r="BH38" s="49">
        <v>1</v>
      </c>
      <c r="BI38" s="50">
        <v>2.4390243902439024</v>
      </c>
      <c r="BJ38" s="49">
        <v>0</v>
      </c>
      <c r="BK38" s="50">
        <v>0</v>
      </c>
      <c r="BL38" s="49">
        <v>39</v>
      </c>
      <c r="BM38" s="50">
        <v>95.1219512195122</v>
      </c>
      <c r="BN38" s="49">
        <v>41</v>
      </c>
    </row>
    <row r="39" spans="1:66" ht="15">
      <c r="A39" s="65" t="s">
        <v>257</v>
      </c>
      <c r="B39" s="65" t="s">
        <v>258</v>
      </c>
      <c r="C39" s="66" t="s">
        <v>2815</v>
      </c>
      <c r="D39" s="67">
        <v>3</v>
      </c>
      <c r="E39" s="66" t="s">
        <v>132</v>
      </c>
      <c r="F39" s="69">
        <v>32</v>
      </c>
      <c r="G39" s="66"/>
      <c r="H39" s="70"/>
      <c r="I39" s="71"/>
      <c r="J39" s="71"/>
      <c r="K39" s="35" t="s">
        <v>65</v>
      </c>
      <c r="L39" s="72">
        <v>39</v>
      </c>
      <c r="M39" s="72"/>
      <c r="N39" s="73"/>
      <c r="O39" s="80" t="s">
        <v>408</v>
      </c>
      <c r="P39" s="82">
        <v>44474.73490740741</v>
      </c>
      <c r="Q39" s="80" t="s">
        <v>427</v>
      </c>
      <c r="R39" s="85" t="str">
        <f>HYPERLINK("https://vegconomist.com/cultivated/herotein-partners-with-mission-barns-to-bring-first-hybrid-cultivated-plant-based-meat-products-to-china/")</f>
        <v>https://vegconomist.com/cultivated/herotein-partners-with-mission-barns-to-bring-first-hybrid-cultivated-plant-based-meat-products-to-china/</v>
      </c>
      <c r="S39" s="80" t="s">
        <v>524</v>
      </c>
      <c r="T39" s="80"/>
      <c r="U39" s="85" t="str">
        <f>HYPERLINK("https://pbs.twimg.com/media/FAn0mgSWQCc1zjB.jpg")</f>
        <v>https://pbs.twimg.com/media/FAn0mgSWQCc1zjB.jpg</v>
      </c>
      <c r="V39" s="85" t="str">
        <f>HYPERLINK("https://pbs.twimg.com/media/FAn0mgSWQCc1zjB.jpg")</f>
        <v>https://pbs.twimg.com/media/FAn0mgSWQCc1zjB.jpg</v>
      </c>
      <c r="W39" s="82">
        <v>44474.73490740741</v>
      </c>
      <c r="X39" s="87">
        <v>44474</v>
      </c>
      <c r="Y39" s="83" t="s">
        <v>593</v>
      </c>
      <c r="Z39" s="85" t="str">
        <f>HYPERLINK("https://twitter.com/joyancepartners/status/1445443233916416003")</f>
        <v>https://twitter.com/joyancepartners/status/1445443233916416003</v>
      </c>
      <c r="AA39" s="80"/>
      <c r="AB39" s="80"/>
      <c r="AC39" s="83" t="s">
        <v>776</v>
      </c>
      <c r="AD39" s="80"/>
      <c r="AE39" s="80" t="b">
        <v>0</v>
      </c>
      <c r="AF39" s="80">
        <v>0</v>
      </c>
      <c r="AG39" s="83" t="s">
        <v>952</v>
      </c>
      <c r="AH39" s="80" t="b">
        <v>0</v>
      </c>
      <c r="AI39" s="80" t="s">
        <v>967</v>
      </c>
      <c r="AJ39" s="80"/>
      <c r="AK39" s="83" t="s">
        <v>952</v>
      </c>
      <c r="AL39" s="80" t="b">
        <v>0</v>
      </c>
      <c r="AM39" s="80">
        <v>2</v>
      </c>
      <c r="AN39" s="83" t="s">
        <v>775</v>
      </c>
      <c r="AO39" s="83" t="s">
        <v>972</v>
      </c>
      <c r="AP39" s="80" t="b">
        <v>0</v>
      </c>
      <c r="AQ39" s="83" t="s">
        <v>775</v>
      </c>
      <c r="AR39" s="80" t="s">
        <v>196</v>
      </c>
      <c r="AS39" s="80">
        <v>0</v>
      </c>
      <c r="AT39" s="80">
        <v>0</v>
      </c>
      <c r="AU39" s="80"/>
      <c r="AV39" s="80"/>
      <c r="AW39" s="80"/>
      <c r="AX39" s="80"/>
      <c r="AY39" s="80"/>
      <c r="AZ39" s="80"/>
      <c r="BA39" s="80"/>
      <c r="BB39" s="80"/>
      <c r="BC39">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259</v>
      </c>
      <c r="B40" s="65" t="s">
        <v>346</v>
      </c>
      <c r="C40" s="66" t="s">
        <v>2815</v>
      </c>
      <c r="D40" s="67">
        <v>3</v>
      </c>
      <c r="E40" s="66" t="s">
        <v>132</v>
      </c>
      <c r="F40" s="69">
        <v>32</v>
      </c>
      <c r="G40" s="66"/>
      <c r="H40" s="70"/>
      <c r="I40" s="71"/>
      <c r="J40" s="71"/>
      <c r="K40" s="35" t="s">
        <v>65</v>
      </c>
      <c r="L40" s="72">
        <v>40</v>
      </c>
      <c r="M40" s="72"/>
      <c r="N40" s="73"/>
      <c r="O40" s="80" t="s">
        <v>408</v>
      </c>
      <c r="P40" s="82">
        <v>44475.816342592596</v>
      </c>
      <c r="Q40" s="83" t="s">
        <v>428</v>
      </c>
      <c r="R40" s="85" t="str">
        <f>HYPERLINK("https://www.greenqueen.com.hk/amp/cell-based-meat-economy-boost/")</f>
        <v>https://www.greenqueen.com.hk/amp/cell-based-meat-economy-boost/</v>
      </c>
      <c r="S40" s="80" t="s">
        <v>525</v>
      </c>
      <c r="T40" s="83" t="s">
        <v>552</v>
      </c>
      <c r="U40" s="80"/>
      <c r="V40" s="85" t="str">
        <f>HYPERLINK("https://pbs.twimg.com/profile_images/1442094860719165442/z9LBrjyn_normal.jpg")</f>
        <v>https://pbs.twimg.com/profile_images/1442094860719165442/z9LBrjyn_normal.jpg</v>
      </c>
      <c r="W40" s="82">
        <v>44475.816342592596</v>
      </c>
      <c r="X40" s="87">
        <v>44475</v>
      </c>
      <c r="Y40" s="83" t="s">
        <v>594</v>
      </c>
      <c r="Z40" s="85" t="str">
        <f>HYPERLINK("https://twitter.com/profjbmatthews/status/1445835133018247176")</f>
        <v>https://twitter.com/profjbmatthews/status/1445835133018247176</v>
      </c>
      <c r="AA40" s="80"/>
      <c r="AB40" s="80"/>
      <c r="AC40" s="83" t="s">
        <v>777</v>
      </c>
      <c r="AD40" s="80"/>
      <c r="AE40" s="80" t="b">
        <v>0</v>
      </c>
      <c r="AF40" s="80">
        <v>0</v>
      </c>
      <c r="AG40" s="83" t="s">
        <v>952</v>
      </c>
      <c r="AH40" s="80" t="b">
        <v>0</v>
      </c>
      <c r="AI40" s="80" t="s">
        <v>967</v>
      </c>
      <c r="AJ40" s="80"/>
      <c r="AK40" s="83" t="s">
        <v>952</v>
      </c>
      <c r="AL40" s="80" t="b">
        <v>0</v>
      </c>
      <c r="AM40" s="80">
        <v>2</v>
      </c>
      <c r="AN40" s="83" t="s">
        <v>906</v>
      </c>
      <c r="AO40" s="83" t="s">
        <v>976</v>
      </c>
      <c r="AP40" s="80" t="b">
        <v>0</v>
      </c>
      <c r="AQ40" s="83" t="s">
        <v>906</v>
      </c>
      <c r="AR40" s="80" t="s">
        <v>196</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9">
        <v>0</v>
      </c>
      <c r="BG40" s="50">
        <v>0</v>
      </c>
      <c r="BH40" s="49">
        <v>0</v>
      </c>
      <c r="BI40" s="50">
        <v>0</v>
      </c>
      <c r="BJ40" s="49">
        <v>0</v>
      </c>
      <c r="BK40" s="50">
        <v>0</v>
      </c>
      <c r="BL40" s="49">
        <v>38</v>
      </c>
      <c r="BM40" s="50">
        <v>100</v>
      </c>
      <c r="BN40" s="49">
        <v>38</v>
      </c>
    </row>
    <row r="41" spans="1:66" ht="15">
      <c r="A41" s="65" t="s">
        <v>260</v>
      </c>
      <c r="B41" s="65" t="s">
        <v>260</v>
      </c>
      <c r="C41" s="66" t="s">
        <v>2816</v>
      </c>
      <c r="D41" s="67">
        <v>6.5</v>
      </c>
      <c r="E41" s="66" t="s">
        <v>136</v>
      </c>
      <c r="F41" s="69">
        <v>28.75</v>
      </c>
      <c r="G41" s="66"/>
      <c r="H41" s="70"/>
      <c r="I41" s="71"/>
      <c r="J41" s="71"/>
      <c r="K41" s="35" t="s">
        <v>65</v>
      </c>
      <c r="L41" s="72">
        <v>41</v>
      </c>
      <c r="M41" s="72"/>
      <c r="N41" s="73"/>
      <c r="O41" s="80" t="s">
        <v>196</v>
      </c>
      <c r="P41" s="82">
        <v>44474.82894675926</v>
      </c>
      <c r="Q41" s="80" t="s">
        <v>429</v>
      </c>
      <c r="R41" s="85" t="str">
        <f>HYPERLINK("https://www.studyfinds.org/people-experience-pain-eating/")</f>
        <v>https://www.studyfinds.org/people-experience-pain-eating/</v>
      </c>
      <c r="S41" s="80" t="s">
        <v>526</v>
      </c>
      <c r="T41" s="80"/>
      <c r="U41" s="80"/>
      <c r="V41" s="85" t="str">
        <f>HYPERLINK("https://pbs.twimg.com/profile_images/453890066717220864/jE_H-2Pu_normal.jpeg")</f>
        <v>https://pbs.twimg.com/profile_images/453890066717220864/jE_H-2Pu_normal.jpeg</v>
      </c>
      <c r="W41" s="82">
        <v>44474.82894675926</v>
      </c>
      <c r="X41" s="87">
        <v>44474</v>
      </c>
      <c r="Y41" s="83" t="s">
        <v>595</v>
      </c>
      <c r="Z41" s="85" t="str">
        <f>HYPERLINK("https://twitter.com/positiveradio/status/1445477313211031565")</f>
        <v>https://twitter.com/positiveradio/status/1445477313211031565</v>
      </c>
      <c r="AA41" s="80"/>
      <c r="AB41" s="80"/>
      <c r="AC41" s="83" t="s">
        <v>778</v>
      </c>
      <c r="AD41" s="80"/>
      <c r="AE41" s="80" t="b">
        <v>0</v>
      </c>
      <c r="AF41" s="80">
        <v>0</v>
      </c>
      <c r="AG41" s="83" t="s">
        <v>952</v>
      </c>
      <c r="AH41" s="80" t="b">
        <v>0</v>
      </c>
      <c r="AI41" s="80" t="s">
        <v>967</v>
      </c>
      <c r="AJ41" s="80"/>
      <c r="AK41" s="83" t="s">
        <v>952</v>
      </c>
      <c r="AL41" s="80" t="b">
        <v>0</v>
      </c>
      <c r="AM41" s="80">
        <v>0</v>
      </c>
      <c r="AN41" s="83" t="s">
        <v>952</v>
      </c>
      <c r="AO41" s="83" t="s">
        <v>972</v>
      </c>
      <c r="AP41" s="80" t="b">
        <v>0</v>
      </c>
      <c r="AQ41" s="83" t="s">
        <v>778</v>
      </c>
      <c r="AR41" s="80" t="s">
        <v>196</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2</v>
      </c>
      <c r="BF41" s="49">
        <v>0</v>
      </c>
      <c r="BG41" s="50">
        <v>0</v>
      </c>
      <c r="BH41" s="49">
        <v>3</v>
      </c>
      <c r="BI41" s="50">
        <v>8.823529411764707</v>
      </c>
      <c r="BJ41" s="49">
        <v>0</v>
      </c>
      <c r="BK41" s="50">
        <v>0</v>
      </c>
      <c r="BL41" s="49">
        <v>31</v>
      </c>
      <c r="BM41" s="50">
        <v>91.17647058823529</v>
      </c>
      <c r="BN41" s="49">
        <v>34</v>
      </c>
    </row>
    <row r="42" spans="1:66" ht="15">
      <c r="A42" s="65" t="s">
        <v>260</v>
      </c>
      <c r="B42" s="65" t="s">
        <v>260</v>
      </c>
      <c r="C42" s="66" t="s">
        <v>2816</v>
      </c>
      <c r="D42" s="67">
        <v>6.5</v>
      </c>
      <c r="E42" s="66" t="s">
        <v>136</v>
      </c>
      <c r="F42" s="69">
        <v>28.75</v>
      </c>
      <c r="G42" s="66"/>
      <c r="H42" s="70"/>
      <c r="I42" s="71"/>
      <c r="J42" s="71"/>
      <c r="K42" s="35" t="s">
        <v>65</v>
      </c>
      <c r="L42" s="72">
        <v>42</v>
      </c>
      <c r="M42" s="72"/>
      <c r="N42" s="73"/>
      <c r="O42" s="80" t="s">
        <v>196</v>
      </c>
      <c r="P42" s="82">
        <v>44476.04560185185</v>
      </c>
      <c r="Q42" s="80" t="s">
        <v>430</v>
      </c>
      <c r="R42" s="85" t="str">
        <f>HYPERLINK("https://newrepublic.com/article/163857/lab-meat-marketing-gmo-foods")</f>
        <v>https://newrepublic.com/article/163857/lab-meat-marketing-gmo-foods</v>
      </c>
      <c r="S42" s="80" t="s">
        <v>527</v>
      </c>
      <c r="T42" s="80"/>
      <c r="U42" s="80"/>
      <c r="V42" s="85" t="str">
        <f>HYPERLINK("https://pbs.twimg.com/profile_images/453890066717220864/jE_H-2Pu_normal.jpeg")</f>
        <v>https://pbs.twimg.com/profile_images/453890066717220864/jE_H-2Pu_normal.jpeg</v>
      </c>
      <c r="W42" s="82">
        <v>44476.04560185185</v>
      </c>
      <c r="X42" s="87">
        <v>44476</v>
      </c>
      <c r="Y42" s="83" t="s">
        <v>596</v>
      </c>
      <c r="Z42" s="85" t="str">
        <f>HYPERLINK("https://twitter.com/positiveradio/status/1445918212407787526")</f>
        <v>https://twitter.com/positiveradio/status/1445918212407787526</v>
      </c>
      <c r="AA42" s="80"/>
      <c r="AB42" s="80"/>
      <c r="AC42" s="83" t="s">
        <v>779</v>
      </c>
      <c r="AD42" s="80"/>
      <c r="AE42" s="80" t="b">
        <v>0</v>
      </c>
      <c r="AF42" s="80">
        <v>0</v>
      </c>
      <c r="AG42" s="83" t="s">
        <v>952</v>
      </c>
      <c r="AH42" s="80" t="b">
        <v>0</v>
      </c>
      <c r="AI42" s="80" t="s">
        <v>967</v>
      </c>
      <c r="AJ42" s="80"/>
      <c r="AK42" s="83" t="s">
        <v>952</v>
      </c>
      <c r="AL42" s="80" t="b">
        <v>0</v>
      </c>
      <c r="AM42" s="80">
        <v>0</v>
      </c>
      <c r="AN42" s="83" t="s">
        <v>952</v>
      </c>
      <c r="AO42" s="83" t="s">
        <v>972</v>
      </c>
      <c r="AP42" s="80" t="b">
        <v>0</v>
      </c>
      <c r="AQ42" s="83" t="s">
        <v>779</v>
      </c>
      <c r="AR42" s="80" t="s">
        <v>196</v>
      </c>
      <c r="AS42" s="80">
        <v>0</v>
      </c>
      <c r="AT42" s="80">
        <v>0</v>
      </c>
      <c r="AU42" s="80"/>
      <c r="AV42" s="80"/>
      <c r="AW42" s="80"/>
      <c r="AX42" s="80"/>
      <c r="AY42" s="80"/>
      <c r="AZ42" s="80"/>
      <c r="BA42" s="80"/>
      <c r="BB42" s="80"/>
      <c r="BC42">
        <v>2</v>
      </c>
      <c r="BD42" s="79" t="str">
        <f>REPLACE(INDEX(GroupVertices[Group],MATCH(Edges[[#This Row],[Vertex 1]],GroupVertices[Vertex],0)),1,1,"")</f>
        <v>2</v>
      </c>
      <c r="BE42" s="79" t="str">
        <f>REPLACE(INDEX(GroupVertices[Group],MATCH(Edges[[#This Row],[Vertex 2]],GroupVertices[Vertex],0)),1,1,"")</f>
        <v>2</v>
      </c>
      <c r="BF42" s="49">
        <v>0</v>
      </c>
      <c r="BG42" s="50">
        <v>0</v>
      </c>
      <c r="BH42" s="49">
        <v>1</v>
      </c>
      <c r="BI42" s="50">
        <v>3.5714285714285716</v>
      </c>
      <c r="BJ42" s="49">
        <v>0</v>
      </c>
      <c r="BK42" s="50">
        <v>0</v>
      </c>
      <c r="BL42" s="49">
        <v>27</v>
      </c>
      <c r="BM42" s="50">
        <v>96.42857142857143</v>
      </c>
      <c r="BN42" s="49">
        <v>28</v>
      </c>
    </row>
    <row r="43" spans="1:66" ht="15">
      <c r="A43" s="65" t="s">
        <v>261</v>
      </c>
      <c r="B43" s="65" t="s">
        <v>377</v>
      </c>
      <c r="C43" s="66" t="s">
        <v>2815</v>
      </c>
      <c r="D43" s="67">
        <v>3</v>
      </c>
      <c r="E43" s="66" t="s">
        <v>132</v>
      </c>
      <c r="F43" s="69">
        <v>32</v>
      </c>
      <c r="G43" s="66"/>
      <c r="H43" s="70"/>
      <c r="I43" s="71"/>
      <c r="J43" s="71"/>
      <c r="K43" s="35" t="s">
        <v>65</v>
      </c>
      <c r="L43" s="72">
        <v>43</v>
      </c>
      <c r="M43" s="72"/>
      <c r="N43" s="73"/>
      <c r="O43" s="80" t="s">
        <v>407</v>
      </c>
      <c r="P43" s="82">
        <v>44476.340891203705</v>
      </c>
      <c r="Q43" s="80" t="s">
        <v>431</v>
      </c>
      <c r="R43" s="85" t="str">
        <f>HYPERLINK("https://econ.trib.al/NL8KzOD")</f>
        <v>https://econ.trib.al/NL8KzOD</v>
      </c>
      <c r="S43" s="80" t="s">
        <v>528</v>
      </c>
      <c r="T43" s="80"/>
      <c r="U43" s="80"/>
      <c r="V43" s="85" t="str">
        <f>HYPERLINK("https://pbs.twimg.com/profile_images/1066626629995282432/pazh5L7A_normal.jpg")</f>
        <v>https://pbs.twimg.com/profile_images/1066626629995282432/pazh5L7A_normal.jpg</v>
      </c>
      <c r="W43" s="82">
        <v>44476.340891203705</v>
      </c>
      <c r="X43" s="87">
        <v>44476</v>
      </c>
      <c r="Y43" s="83" t="s">
        <v>597</v>
      </c>
      <c r="Z43" s="85" t="str">
        <f>HYPERLINK("https://twitter.com/hakangunery_/status/1446025220809269248")</f>
        <v>https://twitter.com/hakangunery_/status/1446025220809269248</v>
      </c>
      <c r="AA43" s="80"/>
      <c r="AB43" s="80"/>
      <c r="AC43" s="83" t="s">
        <v>780</v>
      </c>
      <c r="AD43" s="80"/>
      <c r="AE43" s="80" t="b">
        <v>0</v>
      </c>
      <c r="AF43" s="80">
        <v>0</v>
      </c>
      <c r="AG43" s="83" t="s">
        <v>952</v>
      </c>
      <c r="AH43" s="80" t="b">
        <v>0</v>
      </c>
      <c r="AI43" s="80" t="s">
        <v>967</v>
      </c>
      <c r="AJ43" s="80"/>
      <c r="AK43" s="83" t="s">
        <v>952</v>
      </c>
      <c r="AL43" s="80" t="b">
        <v>0</v>
      </c>
      <c r="AM43" s="80">
        <v>2</v>
      </c>
      <c r="AN43" s="83" t="s">
        <v>867</v>
      </c>
      <c r="AO43" s="83" t="s">
        <v>979</v>
      </c>
      <c r="AP43" s="80" t="b">
        <v>0</v>
      </c>
      <c r="AQ43" s="83" t="s">
        <v>867</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261</v>
      </c>
      <c r="B44" s="65" t="s">
        <v>331</v>
      </c>
      <c r="C44" s="66" t="s">
        <v>2815</v>
      </c>
      <c r="D44" s="67">
        <v>3</v>
      </c>
      <c r="E44" s="66" t="s">
        <v>132</v>
      </c>
      <c r="F44" s="69">
        <v>32</v>
      </c>
      <c r="G44" s="66"/>
      <c r="H44" s="70"/>
      <c r="I44" s="71"/>
      <c r="J44" s="71"/>
      <c r="K44" s="35" t="s">
        <v>65</v>
      </c>
      <c r="L44" s="72">
        <v>44</v>
      </c>
      <c r="M44" s="72"/>
      <c r="N44" s="73"/>
      <c r="O44" s="80" t="s">
        <v>407</v>
      </c>
      <c r="P44" s="82">
        <v>44476.340891203705</v>
      </c>
      <c r="Q44" s="80" t="s">
        <v>431</v>
      </c>
      <c r="R44" s="85" t="str">
        <f>HYPERLINK("https://econ.trib.al/NL8KzOD")</f>
        <v>https://econ.trib.al/NL8KzOD</v>
      </c>
      <c r="S44" s="80" t="s">
        <v>528</v>
      </c>
      <c r="T44" s="80"/>
      <c r="U44" s="80"/>
      <c r="V44" s="85" t="str">
        <f>HYPERLINK("https://pbs.twimg.com/profile_images/1066626629995282432/pazh5L7A_normal.jpg")</f>
        <v>https://pbs.twimg.com/profile_images/1066626629995282432/pazh5L7A_normal.jpg</v>
      </c>
      <c r="W44" s="82">
        <v>44476.340891203705</v>
      </c>
      <c r="X44" s="87">
        <v>44476</v>
      </c>
      <c r="Y44" s="83" t="s">
        <v>597</v>
      </c>
      <c r="Z44" s="85" t="str">
        <f>HYPERLINK("https://twitter.com/hakangunery_/status/1446025220809269248")</f>
        <v>https://twitter.com/hakangunery_/status/1446025220809269248</v>
      </c>
      <c r="AA44" s="80"/>
      <c r="AB44" s="80"/>
      <c r="AC44" s="83" t="s">
        <v>780</v>
      </c>
      <c r="AD44" s="80"/>
      <c r="AE44" s="80" t="b">
        <v>0</v>
      </c>
      <c r="AF44" s="80">
        <v>0</v>
      </c>
      <c r="AG44" s="83" t="s">
        <v>952</v>
      </c>
      <c r="AH44" s="80" t="b">
        <v>0</v>
      </c>
      <c r="AI44" s="80" t="s">
        <v>967</v>
      </c>
      <c r="AJ44" s="80"/>
      <c r="AK44" s="83" t="s">
        <v>952</v>
      </c>
      <c r="AL44" s="80" t="b">
        <v>0</v>
      </c>
      <c r="AM44" s="80">
        <v>2</v>
      </c>
      <c r="AN44" s="83" t="s">
        <v>867</v>
      </c>
      <c r="AO44" s="83" t="s">
        <v>979</v>
      </c>
      <c r="AP44" s="80" t="b">
        <v>0</v>
      </c>
      <c r="AQ44" s="83" t="s">
        <v>867</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261</v>
      </c>
      <c r="B45" s="65" t="s">
        <v>378</v>
      </c>
      <c r="C45" s="66" t="s">
        <v>2815</v>
      </c>
      <c r="D45" s="67">
        <v>3</v>
      </c>
      <c r="E45" s="66" t="s">
        <v>132</v>
      </c>
      <c r="F45" s="69">
        <v>32</v>
      </c>
      <c r="G45" s="66"/>
      <c r="H45" s="70"/>
      <c r="I45" s="71"/>
      <c r="J45" s="71"/>
      <c r="K45" s="35" t="s">
        <v>65</v>
      </c>
      <c r="L45" s="72">
        <v>45</v>
      </c>
      <c r="M45" s="72"/>
      <c r="N45" s="73"/>
      <c r="O45" s="80" t="s">
        <v>407</v>
      </c>
      <c r="P45" s="82">
        <v>44476.340891203705</v>
      </c>
      <c r="Q45" s="80" t="s">
        <v>431</v>
      </c>
      <c r="R45" s="85" t="str">
        <f>HYPERLINK("https://econ.trib.al/NL8KzOD")</f>
        <v>https://econ.trib.al/NL8KzOD</v>
      </c>
      <c r="S45" s="80" t="s">
        <v>528</v>
      </c>
      <c r="T45" s="80"/>
      <c r="U45" s="80"/>
      <c r="V45" s="85" t="str">
        <f>HYPERLINK("https://pbs.twimg.com/profile_images/1066626629995282432/pazh5L7A_normal.jpg")</f>
        <v>https://pbs.twimg.com/profile_images/1066626629995282432/pazh5L7A_normal.jpg</v>
      </c>
      <c r="W45" s="82">
        <v>44476.340891203705</v>
      </c>
      <c r="X45" s="87">
        <v>44476</v>
      </c>
      <c r="Y45" s="83" t="s">
        <v>597</v>
      </c>
      <c r="Z45" s="85" t="str">
        <f>HYPERLINK("https://twitter.com/hakangunery_/status/1446025220809269248")</f>
        <v>https://twitter.com/hakangunery_/status/1446025220809269248</v>
      </c>
      <c r="AA45" s="80"/>
      <c r="AB45" s="80"/>
      <c r="AC45" s="83" t="s">
        <v>780</v>
      </c>
      <c r="AD45" s="80"/>
      <c r="AE45" s="80" t="b">
        <v>0</v>
      </c>
      <c r="AF45" s="80">
        <v>0</v>
      </c>
      <c r="AG45" s="83" t="s">
        <v>952</v>
      </c>
      <c r="AH45" s="80" t="b">
        <v>0</v>
      </c>
      <c r="AI45" s="80" t="s">
        <v>967</v>
      </c>
      <c r="AJ45" s="80"/>
      <c r="AK45" s="83" t="s">
        <v>952</v>
      </c>
      <c r="AL45" s="80" t="b">
        <v>0</v>
      </c>
      <c r="AM45" s="80">
        <v>2</v>
      </c>
      <c r="AN45" s="83" t="s">
        <v>867</v>
      </c>
      <c r="AO45" s="83" t="s">
        <v>979</v>
      </c>
      <c r="AP45" s="80" t="b">
        <v>0</v>
      </c>
      <c r="AQ45" s="83" t="s">
        <v>867</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261</v>
      </c>
      <c r="B46" s="65" t="s">
        <v>332</v>
      </c>
      <c r="C46" s="66" t="s">
        <v>2815</v>
      </c>
      <c r="D46" s="67">
        <v>3</v>
      </c>
      <c r="E46" s="66" t="s">
        <v>132</v>
      </c>
      <c r="F46" s="69">
        <v>32</v>
      </c>
      <c r="G46" s="66"/>
      <c r="H46" s="70"/>
      <c r="I46" s="71"/>
      <c r="J46" s="71"/>
      <c r="K46" s="35" t="s">
        <v>65</v>
      </c>
      <c r="L46" s="72">
        <v>46</v>
      </c>
      <c r="M46" s="72"/>
      <c r="N46" s="73"/>
      <c r="O46" s="80" t="s">
        <v>408</v>
      </c>
      <c r="P46" s="82">
        <v>44476.340891203705</v>
      </c>
      <c r="Q46" s="80" t="s">
        <v>431</v>
      </c>
      <c r="R46" s="85" t="str">
        <f>HYPERLINK("https://econ.trib.al/NL8KzOD")</f>
        <v>https://econ.trib.al/NL8KzOD</v>
      </c>
      <c r="S46" s="80" t="s">
        <v>528</v>
      </c>
      <c r="T46" s="80"/>
      <c r="U46" s="80"/>
      <c r="V46" s="85" t="str">
        <f>HYPERLINK("https://pbs.twimg.com/profile_images/1066626629995282432/pazh5L7A_normal.jpg")</f>
        <v>https://pbs.twimg.com/profile_images/1066626629995282432/pazh5L7A_normal.jpg</v>
      </c>
      <c r="W46" s="82">
        <v>44476.340891203705</v>
      </c>
      <c r="X46" s="87">
        <v>44476</v>
      </c>
      <c r="Y46" s="83" t="s">
        <v>597</v>
      </c>
      <c r="Z46" s="85" t="str">
        <f>HYPERLINK("https://twitter.com/hakangunery_/status/1446025220809269248")</f>
        <v>https://twitter.com/hakangunery_/status/1446025220809269248</v>
      </c>
      <c r="AA46" s="80"/>
      <c r="AB46" s="80"/>
      <c r="AC46" s="83" t="s">
        <v>780</v>
      </c>
      <c r="AD46" s="80"/>
      <c r="AE46" s="80" t="b">
        <v>0</v>
      </c>
      <c r="AF46" s="80">
        <v>0</v>
      </c>
      <c r="AG46" s="83" t="s">
        <v>952</v>
      </c>
      <c r="AH46" s="80" t="b">
        <v>0</v>
      </c>
      <c r="AI46" s="80" t="s">
        <v>967</v>
      </c>
      <c r="AJ46" s="80"/>
      <c r="AK46" s="83" t="s">
        <v>952</v>
      </c>
      <c r="AL46" s="80" t="b">
        <v>0</v>
      </c>
      <c r="AM46" s="80">
        <v>2</v>
      </c>
      <c r="AN46" s="83" t="s">
        <v>867</v>
      </c>
      <c r="AO46" s="83" t="s">
        <v>979</v>
      </c>
      <c r="AP46" s="80" t="b">
        <v>0</v>
      </c>
      <c r="AQ46" s="83" t="s">
        <v>867</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9">
        <v>0</v>
      </c>
      <c r="BG46" s="50">
        <v>0</v>
      </c>
      <c r="BH46" s="49">
        <v>0</v>
      </c>
      <c r="BI46" s="50">
        <v>0</v>
      </c>
      <c r="BJ46" s="49">
        <v>0</v>
      </c>
      <c r="BK46" s="50">
        <v>0</v>
      </c>
      <c r="BL46" s="49">
        <v>34</v>
      </c>
      <c r="BM46" s="50">
        <v>100</v>
      </c>
      <c r="BN46" s="49">
        <v>34</v>
      </c>
    </row>
    <row r="47" spans="1:66" ht="15">
      <c r="A47" s="65" t="s">
        <v>262</v>
      </c>
      <c r="B47" s="65" t="s">
        <v>377</v>
      </c>
      <c r="C47" s="66" t="s">
        <v>2815</v>
      </c>
      <c r="D47" s="67">
        <v>3</v>
      </c>
      <c r="E47" s="66" t="s">
        <v>132</v>
      </c>
      <c r="F47" s="69">
        <v>32</v>
      </c>
      <c r="G47" s="66"/>
      <c r="H47" s="70"/>
      <c r="I47" s="71"/>
      <c r="J47" s="71"/>
      <c r="K47" s="35" t="s">
        <v>65</v>
      </c>
      <c r="L47" s="72">
        <v>47</v>
      </c>
      <c r="M47" s="72"/>
      <c r="N47" s="73"/>
      <c r="O47" s="80" t="s">
        <v>407</v>
      </c>
      <c r="P47" s="82">
        <v>44476.41710648148</v>
      </c>
      <c r="Q47" s="80" t="s">
        <v>432</v>
      </c>
      <c r="R47" s="85" t="str">
        <f>HYPERLINK("https://econ.trib.al/UuLdSAj")</f>
        <v>https://econ.trib.al/UuLdSAj</v>
      </c>
      <c r="S47" s="80" t="s">
        <v>528</v>
      </c>
      <c r="T47" s="80"/>
      <c r="U47" s="80"/>
      <c r="V47" s="85" t="str">
        <f>HYPERLINK("https://abs.twimg.com/sticky/default_profile_images/default_profile_normal.png")</f>
        <v>https://abs.twimg.com/sticky/default_profile_images/default_profile_normal.png</v>
      </c>
      <c r="W47" s="82">
        <v>44476.41710648148</v>
      </c>
      <c r="X47" s="87">
        <v>44476</v>
      </c>
      <c r="Y47" s="83" t="s">
        <v>598</v>
      </c>
      <c r="Z47" s="85" t="str">
        <f>HYPERLINK("https://twitter.com/susanamdeleon2/status/1446052840716316677")</f>
        <v>https://twitter.com/susanamdeleon2/status/1446052840716316677</v>
      </c>
      <c r="AA47" s="80"/>
      <c r="AB47" s="80"/>
      <c r="AC47" s="83" t="s">
        <v>781</v>
      </c>
      <c r="AD47" s="80"/>
      <c r="AE47" s="80" t="b">
        <v>0</v>
      </c>
      <c r="AF47" s="80">
        <v>0</v>
      </c>
      <c r="AG47" s="83" t="s">
        <v>952</v>
      </c>
      <c r="AH47" s="80" t="b">
        <v>0</v>
      </c>
      <c r="AI47" s="80" t="s">
        <v>967</v>
      </c>
      <c r="AJ47" s="80"/>
      <c r="AK47" s="83" t="s">
        <v>952</v>
      </c>
      <c r="AL47" s="80" t="b">
        <v>0</v>
      </c>
      <c r="AM47" s="80">
        <v>11</v>
      </c>
      <c r="AN47" s="83" t="s">
        <v>894</v>
      </c>
      <c r="AO47" s="83" t="s">
        <v>979</v>
      </c>
      <c r="AP47" s="80" t="b">
        <v>0</v>
      </c>
      <c r="AQ47" s="83" t="s">
        <v>894</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262</v>
      </c>
      <c r="B48" s="65" t="s">
        <v>331</v>
      </c>
      <c r="C48" s="66" t="s">
        <v>2815</v>
      </c>
      <c r="D48" s="67">
        <v>3</v>
      </c>
      <c r="E48" s="66" t="s">
        <v>132</v>
      </c>
      <c r="F48" s="69">
        <v>32</v>
      </c>
      <c r="G48" s="66"/>
      <c r="H48" s="70"/>
      <c r="I48" s="71"/>
      <c r="J48" s="71"/>
      <c r="K48" s="35" t="s">
        <v>65</v>
      </c>
      <c r="L48" s="72">
        <v>48</v>
      </c>
      <c r="M48" s="72"/>
      <c r="N48" s="73"/>
      <c r="O48" s="80" t="s">
        <v>407</v>
      </c>
      <c r="P48" s="82">
        <v>44476.41710648148</v>
      </c>
      <c r="Q48" s="80" t="s">
        <v>432</v>
      </c>
      <c r="R48" s="85" t="str">
        <f>HYPERLINK("https://econ.trib.al/UuLdSAj")</f>
        <v>https://econ.trib.al/UuLdSAj</v>
      </c>
      <c r="S48" s="80" t="s">
        <v>528</v>
      </c>
      <c r="T48" s="80"/>
      <c r="U48" s="80"/>
      <c r="V48" s="85" t="str">
        <f>HYPERLINK("https://abs.twimg.com/sticky/default_profile_images/default_profile_normal.png")</f>
        <v>https://abs.twimg.com/sticky/default_profile_images/default_profile_normal.png</v>
      </c>
      <c r="W48" s="82">
        <v>44476.41710648148</v>
      </c>
      <c r="X48" s="87">
        <v>44476</v>
      </c>
      <c r="Y48" s="83" t="s">
        <v>598</v>
      </c>
      <c r="Z48" s="85" t="str">
        <f>HYPERLINK("https://twitter.com/susanamdeleon2/status/1446052840716316677")</f>
        <v>https://twitter.com/susanamdeleon2/status/1446052840716316677</v>
      </c>
      <c r="AA48" s="80"/>
      <c r="AB48" s="80"/>
      <c r="AC48" s="83" t="s">
        <v>781</v>
      </c>
      <c r="AD48" s="80"/>
      <c r="AE48" s="80" t="b">
        <v>0</v>
      </c>
      <c r="AF48" s="80">
        <v>0</v>
      </c>
      <c r="AG48" s="83" t="s">
        <v>952</v>
      </c>
      <c r="AH48" s="80" t="b">
        <v>0</v>
      </c>
      <c r="AI48" s="80" t="s">
        <v>967</v>
      </c>
      <c r="AJ48" s="80"/>
      <c r="AK48" s="83" t="s">
        <v>952</v>
      </c>
      <c r="AL48" s="80" t="b">
        <v>0</v>
      </c>
      <c r="AM48" s="80">
        <v>11</v>
      </c>
      <c r="AN48" s="83" t="s">
        <v>894</v>
      </c>
      <c r="AO48" s="83" t="s">
        <v>979</v>
      </c>
      <c r="AP48" s="80" t="b">
        <v>0</v>
      </c>
      <c r="AQ48" s="83" t="s">
        <v>894</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262</v>
      </c>
      <c r="B49" s="65" t="s">
        <v>378</v>
      </c>
      <c r="C49" s="66" t="s">
        <v>2815</v>
      </c>
      <c r="D49" s="67">
        <v>3</v>
      </c>
      <c r="E49" s="66" t="s">
        <v>132</v>
      </c>
      <c r="F49" s="69">
        <v>32</v>
      </c>
      <c r="G49" s="66"/>
      <c r="H49" s="70"/>
      <c r="I49" s="71"/>
      <c r="J49" s="71"/>
      <c r="K49" s="35" t="s">
        <v>65</v>
      </c>
      <c r="L49" s="72">
        <v>49</v>
      </c>
      <c r="M49" s="72"/>
      <c r="N49" s="73"/>
      <c r="O49" s="80" t="s">
        <v>407</v>
      </c>
      <c r="P49" s="82">
        <v>44476.41710648148</v>
      </c>
      <c r="Q49" s="80" t="s">
        <v>432</v>
      </c>
      <c r="R49" s="85" t="str">
        <f>HYPERLINK("https://econ.trib.al/UuLdSAj")</f>
        <v>https://econ.trib.al/UuLdSAj</v>
      </c>
      <c r="S49" s="80" t="s">
        <v>528</v>
      </c>
      <c r="T49" s="80"/>
      <c r="U49" s="80"/>
      <c r="V49" s="85" t="str">
        <f>HYPERLINK("https://abs.twimg.com/sticky/default_profile_images/default_profile_normal.png")</f>
        <v>https://abs.twimg.com/sticky/default_profile_images/default_profile_normal.png</v>
      </c>
      <c r="W49" s="82">
        <v>44476.41710648148</v>
      </c>
      <c r="X49" s="87">
        <v>44476</v>
      </c>
      <c r="Y49" s="83" t="s">
        <v>598</v>
      </c>
      <c r="Z49" s="85" t="str">
        <f>HYPERLINK("https://twitter.com/susanamdeleon2/status/1446052840716316677")</f>
        <v>https://twitter.com/susanamdeleon2/status/1446052840716316677</v>
      </c>
      <c r="AA49" s="80"/>
      <c r="AB49" s="80"/>
      <c r="AC49" s="83" t="s">
        <v>781</v>
      </c>
      <c r="AD49" s="80"/>
      <c r="AE49" s="80" t="b">
        <v>0</v>
      </c>
      <c r="AF49" s="80">
        <v>0</v>
      </c>
      <c r="AG49" s="83" t="s">
        <v>952</v>
      </c>
      <c r="AH49" s="80" t="b">
        <v>0</v>
      </c>
      <c r="AI49" s="80" t="s">
        <v>967</v>
      </c>
      <c r="AJ49" s="80"/>
      <c r="AK49" s="83" t="s">
        <v>952</v>
      </c>
      <c r="AL49" s="80" t="b">
        <v>0</v>
      </c>
      <c r="AM49" s="80">
        <v>11</v>
      </c>
      <c r="AN49" s="83" t="s">
        <v>894</v>
      </c>
      <c r="AO49" s="83" t="s">
        <v>979</v>
      </c>
      <c r="AP49" s="80" t="b">
        <v>0</v>
      </c>
      <c r="AQ49" s="83" t="s">
        <v>894</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262</v>
      </c>
      <c r="B50" s="65" t="s">
        <v>342</v>
      </c>
      <c r="C50" s="66" t="s">
        <v>2815</v>
      </c>
      <c r="D50" s="67">
        <v>3</v>
      </c>
      <c r="E50" s="66" t="s">
        <v>132</v>
      </c>
      <c r="F50" s="69">
        <v>32</v>
      </c>
      <c r="G50" s="66"/>
      <c r="H50" s="70"/>
      <c r="I50" s="71"/>
      <c r="J50" s="71"/>
      <c r="K50" s="35" t="s">
        <v>65</v>
      </c>
      <c r="L50" s="72">
        <v>50</v>
      </c>
      <c r="M50" s="72"/>
      <c r="N50" s="73"/>
      <c r="O50" s="80" t="s">
        <v>408</v>
      </c>
      <c r="P50" s="82">
        <v>44476.41710648148</v>
      </c>
      <c r="Q50" s="80" t="s">
        <v>432</v>
      </c>
      <c r="R50" s="85" t="str">
        <f>HYPERLINK("https://econ.trib.al/UuLdSAj")</f>
        <v>https://econ.trib.al/UuLdSAj</v>
      </c>
      <c r="S50" s="80" t="s">
        <v>528</v>
      </c>
      <c r="T50" s="80"/>
      <c r="U50" s="80"/>
      <c r="V50" s="85" t="str">
        <f>HYPERLINK("https://abs.twimg.com/sticky/default_profile_images/default_profile_normal.png")</f>
        <v>https://abs.twimg.com/sticky/default_profile_images/default_profile_normal.png</v>
      </c>
      <c r="W50" s="82">
        <v>44476.41710648148</v>
      </c>
      <c r="X50" s="87">
        <v>44476</v>
      </c>
      <c r="Y50" s="83" t="s">
        <v>598</v>
      </c>
      <c r="Z50" s="85" t="str">
        <f>HYPERLINK("https://twitter.com/susanamdeleon2/status/1446052840716316677")</f>
        <v>https://twitter.com/susanamdeleon2/status/1446052840716316677</v>
      </c>
      <c r="AA50" s="80"/>
      <c r="AB50" s="80"/>
      <c r="AC50" s="83" t="s">
        <v>781</v>
      </c>
      <c r="AD50" s="80"/>
      <c r="AE50" s="80" t="b">
        <v>0</v>
      </c>
      <c r="AF50" s="80">
        <v>0</v>
      </c>
      <c r="AG50" s="83" t="s">
        <v>952</v>
      </c>
      <c r="AH50" s="80" t="b">
        <v>0</v>
      </c>
      <c r="AI50" s="80" t="s">
        <v>967</v>
      </c>
      <c r="AJ50" s="80"/>
      <c r="AK50" s="83" t="s">
        <v>952</v>
      </c>
      <c r="AL50" s="80" t="b">
        <v>0</v>
      </c>
      <c r="AM50" s="80">
        <v>11</v>
      </c>
      <c r="AN50" s="83" t="s">
        <v>894</v>
      </c>
      <c r="AO50" s="83" t="s">
        <v>979</v>
      </c>
      <c r="AP50" s="80" t="b">
        <v>0</v>
      </c>
      <c r="AQ50" s="83" t="s">
        <v>894</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34</v>
      </c>
      <c r="BM50" s="50">
        <v>100</v>
      </c>
      <c r="BN50" s="49">
        <v>34</v>
      </c>
    </row>
    <row r="51" spans="1:66" ht="15">
      <c r="A51" s="65" t="s">
        <v>263</v>
      </c>
      <c r="B51" s="65" t="s">
        <v>377</v>
      </c>
      <c r="C51" s="66" t="s">
        <v>2815</v>
      </c>
      <c r="D51" s="67">
        <v>3</v>
      </c>
      <c r="E51" s="66" t="s">
        <v>132</v>
      </c>
      <c r="F51" s="69">
        <v>32</v>
      </c>
      <c r="G51" s="66"/>
      <c r="H51" s="70"/>
      <c r="I51" s="71"/>
      <c r="J51" s="71"/>
      <c r="K51" s="35" t="s">
        <v>65</v>
      </c>
      <c r="L51" s="72">
        <v>51</v>
      </c>
      <c r="M51" s="72"/>
      <c r="N51" s="73"/>
      <c r="O51" s="80" t="s">
        <v>407</v>
      </c>
      <c r="P51" s="82">
        <v>44476.41744212963</v>
      </c>
      <c r="Q51" s="80" t="s">
        <v>432</v>
      </c>
      <c r="R51" s="85" t="str">
        <f>HYPERLINK("https://econ.trib.al/UuLdSAj")</f>
        <v>https://econ.trib.al/UuLdSAj</v>
      </c>
      <c r="S51" s="80" t="s">
        <v>528</v>
      </c>
      <c r="T51" s="80"/>
      <c r="U51" s="80"/>
      <c r="V51" s="85" t="str">
        <f>HYPERLINK("https://pbs.twimg.com/profile_images/1406643177675579396/DmQjXVQ4_normal.jpg")</f>
        <v>https://pbs.twimg.com/profile_images/1406643177675579396/DmQjXVQ4_normal.jpg</v>
      </c>
      <c r="W51" s="82">
        <v>44476.41744212963</v>
      </c>
      <c r="X51" s="87">
        <v>44476</v>
      </c>
      <c r="Y51" s="83" t="s">
        <v>599</v>
      </c>
      <c r="Z51" s="85" t="str">
        <f>HYPERLINK("https://twitter.com/moh_nis/status/1446052962279649281")</f>
        <v>https://twitter.com/moh_nis/status/1446052962279649281</v>
      </c>
      <c r="AA51" s="80"/>
      <c r="AB51" s="80"/>
      <c r="AC51" s="83" t="s">
        <v>782</v>
      </c>
      <c r="AD51" s="80"/>
      <c r="AE51" s="80" t="b">
        <v>0</v>
      </c>
      <c r="AF51" s="80">
        <v>0</v>
      </c>
      <c r="AG51" s="83" t="s">
        <v>952</v>
      </c>
      <c r="AH51" s="80" t="b">
        <v>0</v>
      </c>
      <c r="AI51" s="80" t="s">
        <v>967</v>
      </c>
      <c r="AJ51" s="80"/>
      <c r="AK51" s="83" t="s">
        <v>952</v>
      </c>
      <c r="AL51" s="80" t="b">
        <v>0</v>
      </c>
      <c r="AM51" s="80">
        <v>11</v>
      </c>
      <c r="AN51" s="83" t="s">
        <v>894</v>
      </c>
      <c r="AO51" s="83" t="s">
        <v>976</v>
      </c>
      <c r="AP51" s="80" t="b">
        <v>0</v>
      </c>
      <c r="AQ51" s="83" t="s">
        <v>894</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263</v>
      </c>
      <c r="B52" s="65" t="s">
        <v>331</v>
      </c>
      <c r="C52" s="66" t="s">
        <v>2815</v>
      </c>
      <c r="D52" s="67">
        <v>3</v>
      </c>
      <c r="E52" s="66" t="s">
        <v>132</v>
      </c>
      <c r="F52" s="69">
        <v>32</v>
      </c>
      <c r="G52" s="66"/>
      <c r="H52" s="70"/>
      <c r="I52" s="71"/>
      <c r="J52" s="71"/>
      <c r="K52" s="35" t="s">
        <v>65</v>
      </c>
      <c r="L52" s="72">
        <v>52</v>
      </c>
      <c r="M52" s="72"/>
      <c r="N52" s="73"/>
      <c r="O52" s="80" t="s">
        <v>407</v>
      </c>
      <c r="P52" s="82">
        <v>44476.41744212963</v>
      </c>
      <c r="Q52" s="80" t="s">
        <v>432</v>
      </c>
      <c r="R52" s="85" t="str">
        <f>HYPERLINK("https://econ.trib.al/UuLdSAj")</f>
        <v>https://econ.trib.al/UuLdSAj</v>
      </c>
      <c r="S52" s="80" t="s">
        <v>528</v>
      </c>
      <c r="T52" s="80"/>
      <c r="U52" s="80"/>
      <c r="V52" s="85" t="str">
        <f>HYPERLINK("https://pbs.twimg.com/profile_images/1406643177675579396/DmQjXVQ4_normal.jpg")</f>
        <v>https://pbs.twimg.com/profile_images/1406643177675579396/DmQjXVQ4_normal.jpg</v>
      </c>
      <c r="W52" s="82">
        <v>44476.41744212963</v>
      </c>
      <c r="X52" s="87">
        <v>44476</v>
      </c>
      <c r="Y52" s="83" t="s">
        <v>599</v>
      </c>
      <c r="Z52" s="85" t="str">
        <f>HYPERLINK("https://twitter.com/moh_nis/status/1446052962279649281")</f>
        <v>https://twitter.com/moh_nis/status/1446052962279649281</v>
      </c>
      <c r="AA52" s="80"/>
      <c r="AB52" s="80"/>
      <c r="AC52" s="83" t="s">
        <v>782</v>
      </c>
      <c r="AD52" s="80"/>
      <c r="AE52" s="80" t="b">
        <v>0</v>
      </c>
      <c r="AF52" s="80">
        <v>0</v>
      </c>
      <c r="AG52" s="83" t="s">
        <v>952</v>
      </c>
      <c r="AH52" s="80" t="b">
        <v>0</v>
      </c>
      <c r="AI52" s="80" t="s">
        <v>967</v>
      </c>
      <c r="AJ52" s="80"/>
      <c r="AK52" s="83" t="s">
        <v>952</v>
      </c>
      <c r="AL52" s="80" t="b">
        <v>0</v>
      </c>
      <c r="AM52" s="80">
        <v>11</v>
      </c>
      <c r="AN52" s="83" t="s">
        <v>894</v>
      </c>
      <c r="AO52" s="83" t="s">
        <v>976</v>
      </c>
      <c r="AP52" s="80" t="b">
        <v>0</v>
      </c>
      <c r="AQ52" s="83" t="s">
        <v>894</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263</v>
      </c>
      <c r="B53" s="65" t="s">
        <v>378</v>
      </c>
      <c r="C53" s="66" t="s">
        <v>2815</v>
      </c>
      <c r="D53" s="67">
        <v>3</v>
      </c>
      <c r="E53" s="66" t="s">
        <v>132</v>
      </c>
      <c r="F53" s="69">
        <v>32</v>
      </c>
      <c r="G53" s="66"/>
      <c r="H53" s="70"/>
      <c r="I53" s="71"/>
      <c r="J53" s="71"/>
      <c r="K53" s="35" t="s">
        <v>65</v>
      </c>
      <c r="L53" s="72">
        <v>53</v>
      </c>
      <c r="M53" s="72"/>
      <c r="N53" s="73"/>
      <c r="O53" s="80" t="s">
        <v>407</v>
      </c>
      <c r="P53" s="82">
        <v>44476.41744212963</v>
      </c>
      <c r="Q53" s="80" t="s">
        <v>432</v>
      </c>
      <c r="R53" s="85" t="str">
        <f>HYPERLINK("https://econ.trib.al/UuLdSAj")</f>
        <v>https://econ.trib.al/UuLdSAj</v>
      </c>
      <c r="S53" s="80" t="s">
        <v>528</v>
      </c>
      <c r="T53" s="80"/>
      <c r="U53" s="80"/>
      <c r="V53" s="85" t="str">
        <f>HYPERLINK("https://pbs.twimg.com/profile_images/1406643177675579396/DmQjXVQ4_normal.jpg")</f>
        <v>https://pbs.twimg.com/profile_images/1406643177675579396/DmQjXVQ4_normal.jpg</v>
      </c>
      <c r="W53" s="82">
        <v>44476.41744212963</v>
      </c>
      <c r="X53" s="87">
        <v>44476</v>
      </c>
      <c r="Y53" s="83" t="s">
        <v>599</v>
      </c>
      <c r="Z53" s="85" t="str">
        <f>HYPERLINK("https://twitter.com/moh_nis/status/1446052962279649281")</f>
        <v>https://twitter.com/moh_nis/status/1446052962279649281</v>
      </c>
      <c r="AA53" s="80"/>
      <c r="AB53" s="80"/>
      <c r="AC53" s="83" t="s">
        <v>782</v>
      </c>
      <c r="AD53" s="80"/>
      <c r="AE53" s="80" t="b">
        <v>0</v>
      </c>
      <c r="AF53" s="80">
        <v>0</v>
      </c>
      <c r="AG53" s="83" t="s">
        <v>952</v>
      </c>
      <c r="AH53" s="80" t="b">
        <v>0</v>
      </c>
      <c r="AI53" s="80" t="s">
        <v>967</v>
      </c>
      <c r="AJ53" s="80"/>
      <c r="AK53" s="83" t="s">
        <v>952</v>
      </c>
      <c r="AL53" s="80" t="b">
        <v>0</v>
      </c>
      <c r="AM53" s="80">
        <v>11</v>
      </c>
      <c r="AN53" s="83" t="s">
        <v>894</v>
      </c>
      <c r="AO53" s="83" t="s">
        <v>976</v>
      </c>
      <c r="AP53" s="80" t="b">
        <v>0</v>
      </c>
      <c r="AQ53" s="83" t="s">
        <v>894</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263</v>
      </c>
      <c r="B54" s="65" t="s">
        <v>342</v>
      </c>
      <c r="C54" s="66" t="s">
        <v>2815</v>
      </c>
      <c r="D54" s="67">
        <v>3</v>
      </c>
      <c r="E54" s="66" t="s">
        <v>132</v>
      </c>
      <c r="F54" s="69">
        <v>32</v>
      </c>
      <c r="G54" s="66"/>
      <c r="H54" s="70"/>
      <c r="I54" s="71"/>
      <c r="J54" s="71"/>
      <c r="K54" s="35" t="s">
        <v>65</v>
      </c>
      <c r="L54" s="72">
        <v>54</v>
      </c>
      <c r="M54" s="72"/>
      <c r="N54" s="73"/>
      <c r="O54" s="80" t="s">
        <v>408</v>
      </c>
      <c r="P54" s="82">
        <v>44476.41744212963</v>
      </c>
      <c r="Q54" s="80" t="s">
        <v>432</v>
      </c>
      <c r="R54" s="85" t="str">
        <f>HYPERLINK("https://econ.trib.al/UuLdSAj")</f>
        <v>https://econ.trib.al/UuLdSAj</v>
      </c>
      <c r="S54" s="80" t="s">
        <v>528</v>
      </c>
      <c r="T54" s="80"/>
      <c r="U54" s="80"/>
      <c r="V54" s="85" t="str">
        <f>HYPERLINK("https://pbs.twimg.com/profile_images/1406643177675579396/DmQjXVQ4_normal.jpg")</f>
        <v>https://pbs.twimg.com/profile_images/1406643177675579396/DmQjXVQ4_normal.jpg</v>
      </c>
      <c r="W54" s="82">
        <v>44476.41744212963</v>
      </c>
      <c r="X54" s="87">
        <v>44476</v>
      </c>
      <c r="Y54" s="83" t="s">
        <v>599</v>
      </c>
      <c r="Z54" s="85" t="str">
        <f>HYPERLINK("https://twitter.com/moh_nis/status/1446052962279649281")</f>
        <v>https://twitter.com/moh_nis/status/1446052962279649281</v>
      </c>
      <c r="AA54" s="80"/>
      <c r="AB54" s="80"/>
      <c r="AC54" s="83" t="s">
        <v>782</v>
      </c>
      <c r="AD54" s="80"/>
      <c r="AE54" s="80" t="b">
        <v>0</v>
      </c>
      <c r="AF54" s="80">
        <v>0</v>
      </c>
      <c r="AG54" s="83" t="s">
        <v>952</v>
      </c>
      <c r="AH54" s="80" t="b">
        <v>0</v>
      </c>
      <c r="AI54" s="80" t="s">
        <v>967</v>
      </c>
      <c r="AJ54" s="80"/>
      <c r="AK54" s="83" t="s">
        <v>952</v>
      </c>
      <c r="AL54" s="80" t="b">
        <v>0</v>
      </c>
      <c r="AM54" s="80">
        <v>11</v>
      </c>
      <c r="AN54" s="83" t="s">
        <v>894</v>
      </c>
      <c r="AO54" s="83" t="s">
        <v>976</v>
      </c>
      <c r="AP54" s="80" t="b">
        <v>0</v>
      </c>
      <c r="AQ54" s="83" t="s">
        <v>894</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9">
        <v>0</v>
      </c>
      <c r="BG54" s="50">
        <v>0</v>
      </c>
      <c r="BH54" s="49">
        <v>0</v>
      </c>
      <c r="BI54" s="50">
        <v>0</v>
      </c>
      <c r="BJ54" s="49">
        <v>0</v>
      </c>
      <c r="BK54" s="50">
        <v>0</v>
      </c>
      <c r="BL54" s="49">
        <v>34</v>
      </c>
      <c r="BM54" s="50">
        <v>100</v>
      </c>
      <c r="BN54" s="49">
        <v>34</v>
      </c>
    </row>
    <row r="55" spans="1:66" ht="15">
      <c r="A55" s="65" t="s">
        <v>264</v>
      </c>
      <c r="B55" s="65" t="s">
        <v>377</v>
      </c>
      <c r="C55" s="66" t="s">
        <v>2815</v>
      </c>
      <c r="D55" s="67">
        <v>3</v>
      </c>
      <c r="E55" s="66" t="s">
        <v>132</v>
      </c>
      <c r="F55" s="69">
        <v>32</v>
      </c>
      <c r="G55" s="66"/>
      <c r="H55" s="70"/>
      <c r="I55" s="71"/>
      <c r="J55" s="71"/>
      <c r="K55" s="35" t="s">
        <v>65</v>
      </c>
      <c r="L55" s="72">
        <v>55</v>
      </c>
      <c r="M55" s="72"/>
      <c r="N55" s="73"/>
      <c r="O55" s="80" t="s">
        <v>407</v>
      </c>
      <c r="P55" s="82">
        <v>44476.41914351852</v>
      </c>
      <c r="Q55" s="80" t="s">
        <v>432</v>
      </c>
      <c r="R55" s="85" t="str">
        <f>HYPERLINK("https://econ.trib.al/UuLdSAj")</f>
        <v>https://econ.trib.al/UuLdSAj</v>
      </c>
      <c r="S55" s="80" t="s">
        <v>528</v>
      </c>
      <c r="T55" s="80"/>
      <c r="U55" s="80"/>
      <c r="V55" s="85" t="str">
        <f>HYPERLINK("https://pbs.twimg.com/profile_images/1221366082562211840/Hd6ovz0k_normal.jpg")</f>
        <v>https://pbs.twimg.com/profile_images/1221366082562211840/Hd6ovz0k_normal.jpg</v>
      </c>
      <c r="W55" s="82">
        <v>44476.41914351852</v>
      </c>
      <c r="X55" s="87">
        <v>44476</v>
      </c>
      <c r="Y55" s="83" t="s">
        <v>600</v>
      </c>
      <c r="Z55" s="85" t="str">
        <f>HYPERLINK("https://twitter.com/world_news_eng/status/1446053580113285124")</f>
        <v>https://twitter.com/world_news_eng/status/1446053580113285124</v>
      </c>
      <c r="AA55" s="80"/>
      <c r="AB55" s="80"/>
      <c r="AC55" s="83" t="s">
        <v>783</v>
      </c>
      <c r="AD55" s="80"/>
      <c r="AE55" s="80" t="b">
        <v>0</v>
      </c>
      <c r="AF55" s="80">
        <v>0</v>
      </c>
      <c r="AG55" s="83" t="s">
        <v>952</v>
      </c>
      <c r="AH55" s="80" t="b">
        <v>0</v>
      </c>
      <c r="AI55" s="80" t="s">
        <v>967</v>
      </c>
      <c r="AJ55" s="80"/>
      <c r="AK55" s="83" t="s">
        <v>952</v>
      </c>
      <c r="AL55" s="80" t="b">
        <v>0</v>
      </c>
      <c r="AM55" s="80">
        <v>11</v>
      </c>
      <c r="AN55" s="83" t="s">
        <v>894</v>
      </c>
      <c r="AO55" s="83" t="s">
        <v>264</v>
      </c>
      <c r="AP55" s="80" t="b">
        <v>0</v>
      </c>
      <c r="AQ55" s="83" t="s">
        <v>894</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264</v>
      </c>
      <c r="B56" s="65" t="s">
        <v>331</v>
      </c>
      <c r="C56" s="66" t="s">
        <v>2815</v>
      </c>
      <c r="D56" s="67">
        <v>3</v>
      </c>
      <c r="E56" s="66" t="s">
        <v>132</v>
      </c>
      <c r="F56" s="69">
        <v>32</v>
      </c>
      <c r="G56" s="66"/>
      <c r="H56" s="70"/>
      <c r="I56" s="71"/>
      <c r="J56" s="71"/>
      <c r="K56" s="35" t="s">
        <v>65</v>
      </c>
      <c r="L56" s="72">
        <v>56</v>
      </c>
      <c r="M56" s="72"/>
      <c r="N56" s="73"/>
      <c r="O56" s="80" t="s">
        <v>407</v>
      </c>
      <c r="P56" s="82">
        <v>44476.41914351852</v>
      </c>
      <c r="Q56" s="80" t="s">
        <v>432</v>
      </c>
      <c r="R56" s="85" t="str">
        <f>HYPERLINK("https://econ.trib.al/UuLdSAj")</f>
        <v>https://econ.trib.al/UuLdSAj</v>
      </c>
      <c r="S56" s="80" t="s">
        <v>528</v>
      </c>
      <c r="T56" s="80"/>
      <c r="U56" s="80"/>
      <c r="V56" s="85" t="str">
        <f>HYPERLINK("https://pbs.twimg.com/profile_images/1221366082562211840/Hd6ovz0k_normal.jpg")</f>
        <v>https://pbs.twimg.com/profile_images/1221366082562211840/Hd6ovz0k_normal.jpg</v>
      </c>
      <c r="W56" s="82">
        <v>44476.41914351852</v>
      </c>
      <c r="X56" s="87">
        <v>44476</v>
      </c>
      <c r="Y56" s="83" t="s">
        <v>600</v>
      </c>
      <c r="Z56" s="85" t="str">
        <f>HYPERLINK("https://twitter.com/world_news_eng/status/1446053580113285124")</f>
        <v>https://twitter.com/world_news_eng/status/1446053580113285124</v>
      </c>
      <c r="AA56" s="80"/>
      <c r="AB56" s="80"/>
      <c r="AC56" s="83" t="s">
        <v>783</v>
      </c>
      <c r="AD56" s="80"/>
      <c r="AE56" s="80" t="b">
        <v>0</v>
      </c>
      <c r="AF56" s="80">
        <v>0</v>
      </c>
      <c r="AG56" s="83" t="s">
        <v>952</v>
      </c>
      <c r="AH56" s="80" t="b">
        <v>0</v>
      </c>
      <c r="AI56" s="80" t="s">
        <v>967</v>
      </c>
      <c r="AJ56" s="80"/>
      <c r="AK56" s="83" t="s">
        <v>952</v>
      </c>
      <c r="AL56" s="80" t="b">
        <v>0</v>
      </c>
      <c r="AM56" s="80">
        <v>11</v>
      </c>
      <c r="AN56" s="83" t="s">
        <v>894</v>
      </c>
      <c r="AO56" s="83" t="s">
        <v>264</v>
      </c>
      <c r="AP56" s="80" t="b">
        <v>0</v>
      </c>
      <c r="AQ56" s="83" t="s">
        <v>894</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264</v>
      </c>
      <c r="B57" s="65" t="s">
        <v>378</v>
      </c>
      <c r="C57" s="66" t="s">
        <v>2815</v>
      </c>
      <c r="D57" s="67">
        <v>3</v>
      </c>
      <c r="E57" s="66" t="s">
        <v>132</v>
      </c>
      <c r="F57" s="69">
        <v>32</v>
      </c>
      <c r="G57" s="66"/>
      <c r="H57" s="70"/>
      <c r="I57" s="71"/>
      <c r="J57" s="71"/>
      <c r="K57" s="35" t="s">
        <v>65</v>
      </c>
      <c r="L57" s="72">
        <v>57</v>
      </c>
      <c r="M57" s="72"/>
      <c r="N57" s="73"/>
      <c r="O57" s="80" t="s">
        <v>407</v>
      </c>
      <c r="P57" s="82">
        <v>44476.41914351852</v>
      </c>
      <c r="Q57" s="80" t="s">
        <v>432</v>
      </c>
      <c r="R57" s="85" t="str">
        <f>HYPERLINK("https://econ.trib.al/UuLdSAj")</f>
        <v>https://econ.trib.al/UuLdSAj</v>
      </c>
      <c r="S57" s="80" t="s">
        <v>528</v>
      </c>
      <c r="T57" s="80"/>
      <c r="U57" s="80"/>
      <c r="V57" s="85" t="str">
        <f>HYPERLINK("https://pbs.twimg.com/profile_images/1221366082562211840/Hd6ovz0k_normal.jpg")</f>
        <v>https://pbs.twimg.com/profile_images/1221366082562211840/Hd6ovz0k_normal.jpg</v>
      </c>
      <c r="W57" s="82">
        <v>44476.41914351852</v>
      </c>
      <c r="X57" s="87">
        <v>44476</v>
      </c>
      <c r="Y57" s="83" t="s">
        <v>600</v>
      </c>
      <c r="Z57" s="85" t="str">
        <f>HYPERLINK("https://twitter.com/world_news_eng/status/1446053580113285124")</f>
        <v>https://twitter.com/world_news_eng/status/1446053580113285124</v>
      </c>
      <c r="AA57" s="80"/>
      <c r="AB57" s="80"/>
      <c r="AC57" s="83" t="s">
        <v>783</v>
      </c>
      <c r="AD57" s="80"/>
      <c r="AE57" s="80" t="b">
        <v>0</v>
      </c>
      <c r="AF57" s="80">
        <v>0</v>
      </c>
      <c r="AG57" s="83" t="s">
        <v>952</v>
      </c>
      <c r="AH57" s="80" t="b">
        <v>0</v>
      </c>
      <c r="AI57" s="80" t="s">
        <v>967</v>
      </c>
      <c r="AJ57" s="80"/>
      <c r="AK57" s="83" t="s">
        <v>952</v>
      </c>
      <c r="AL57" s="80" t="b">
        <v>0</v>
      </c>
      <c r="AM57" s="80">
        <v>11</v>
      </c>
      <c r="AN57" s="83" t="s">
        <v>894</v>
      </c>
      <c r="AO57" s="83" t="s">
        <v>264</v>
      </c>
      <c r="AP57" s="80" t="b">
        <v>0</v>
      </c>
      <c r="AQ57" s="83" t="s">
        <v>894</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264</v>
      </c>
      <c r="B58" s="65" t="s">
        <v>342</v>
      </c>
      <c r="C58" s="66" t="s">
        <v>2815</v>
      </c>
      <c r="D58" s="67">
        <v>3</v>
      </c>
      <c r="E58" s="66" t="s">
        <v>132</v>
      </c>
      <c r="F58" s="69">
        <v>32</v>
      </c>
      <c r="G58" s="66"/>
      <c r="H58" s="70"/>
      <c r="I58" s="71"/>
      <c r="J58" s="71"/>
      <c r="K58" s="35" t="s">
        <v>65</v>
      </c>
      <c r="L58" s="72">
        <v>58</v>
      </c>
      <c r="M58" s="72"/>
      <c r="N58" s="73"/>
      <c r="O58" s="80" t="s">
        <v>408</v>
      </c>
      <c r="P58" s="82">
        <v>44476.41914351852</v>
      </c>
      <c r="Q58" s="80" t="s">
        <v>432</v>
      </c>
      <c r="R58" s="85" t="str">
        <f>HYPERLINK("https://econ.trib.al/UuLdSAj")</f>
        <v>https://econ.trib.al/UuLdSAj</v>
      </c>
      <c r="S58" s="80" t="s">
        <v>528</v>
      </c>
      <c r="T58" s="80"/>
      <c r="U58" s="80"/>
      <c r="V58" s="85" t="str">
        <f>HYPERLINK("https://pbs.twimg.com/profile_images/1221366082562211840/Hd6ovz0k_normal.jpg")</f>
        <v>https://pbs.twimg.com/profile_images/1221366082562211840/Hd6ovz0k_normal.jpg</v>
      </c>
      <c r="W58" s="82">
        <v>44476.41914351852</v>
      </c>
      <c r="X58" s="87">
        <v>44476</v>
      </c>
      <c r="Y58" s="83" t="s">
        <v>600</v>
      </c>
      <c r="Z58" s="85" t="str">
        <f>HYPERLINK("https://twitter.com/world_news_eng/status/1446053580113285124")</f>
        <v>https://twitter.com/world_news_eng/status/1446053580113285124</v>
      </c>
      <c r="AA58" s="80"/>
      <c r="AB58" s="80"/>
      <c r="AC58" s="83" t="s">
        <v>783</v>
      </c>
      <c r="AD58" s="80"/>
      <c r="AE58" s="80" t="b">
        <v>0</v>
      </c>
      <c r="AF58" s="80">
        <v>0</v>
      </c>
      <c r="AG58" s="83" t="s">
        <v>952</v>
      </c>
      <c r="AH58" s="80" t="b">
        <v>0</v>
      </c>
      <c r="AI58" s="80" t="s">
        <v>967</v>
      </c>
      <c r="AJ58" s="80"/>
      <c r="AK58" s="83" t="s">
        <v>952</v>
      </c>
      <c r="AL58" s="80" t="b">
        <v>0</v>
      </c>
      <c r="AM58" s="80">
        <v>11</v>
      </c>
      <c r="AN58" s="83" t="s">
        <v>894</v>
      </c>
      <c r="AO58" s="83" t="s">
        <v>264</v>
      </c>
      <c r="AP58" s="80" t="b">
        <v>0</v>
      </c>
      <c r="AQ58" s="83" t="s">
        <v>894</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34</v>
      </c>
      <c r="BM58" s="50">
        <v>100</v>
      </c>
      <c r="BN58" s="49">
        <v>34</v>
      </c>
    </row>
    <row r="59" spans="1:66" ht="15">
      <c r="A59" s="65" t="s">
        <v>265</v>
      </c>
      <c r="B59" s="65" t="s">
        <v>377</v>
      </c>
      <c r="C59" s="66" t="s">
        <v>2815</v>
      </c>
      <c r="D59" s="67">
        <v>3</v>
      </c>
      <c r="E59" s="66" t="s">
        <v>132</v>
      </c>
      <c r="F59" s="69">
        <v>32</v>
      </c>
      <c r="G59" s="66"/>
      <c r="H59" s="70"/>
      <c r="I59" s="71"/>
      <c r="J59" s="71"/>
      <c r="K59" s="35" t="s">
        <v>65</v>
      </c>
      <c r="L59" s="72">
        <v>59</v>
      </c>
      <c r="M59" s="72"/>
      <c r="N59" s="73"/>
      <c r="O59" s="80" t="s">
        <v>407</v>
      </c>
      <c r="P59" s="82">
        <v>44476.41956018518</v>
      </c>
      <c r="Q59" s="80" t="s">
        <v>432</v>
      </c>
      <c r="R59" s="85" t="str">
        <f>HYPERLINK("https://econ.trib.al/UuLdSAj")</f>
        <v>https://econ.trib.al/UuLdSAj</v>
      </c>
      <c r="S59" s="80" t="s">
        <v>528</v>
      </c>
      <c r="T59" s="80"/>
      <c r="U59" s="80"/>
      <c r="V59" s="85" t="str">
        <f>HYPERLINK("https://pbs.twimg.com/profile_images/1237392210636627968/4AaYQWX-_normal.jpg")</f>
        <v>https://pbs.twimg.com/profile_images/1237392210636627968/4AaYQWX-_normal.jpg</v>
      </c>
      <c r="W59" s="82">
        <v>44476.41956018518</v>
      </c>
      <c r="X59" s="87">
        <v>44476</v>
      </c>
      <c r="Y59" s="83" t="s">
        <v>601</v>
      </c>
      <c r="Z59" s="85" t="str">
        <f>HYPERLINK("https://twitter.com/ezeonufo/status/1446053732903424001")</f>
        <v>https://twitter.com/ezeonufo/status/1446053732903424001</v>
      </c>
      <c r="AA59" s="80"/>
      <c r="AB59" s="80"/>
      <c r="AC59" s="83" t="s">
        <v>784</v>
      </c>
      <c r="AD59" s="80"/>
      <c r="AE59" s="80" t="b">
        <v>0</v>
      </c>
      <c r="AF59" s="80">
        <v>0</v>
      </c>
      <c r="AG59" s="83" t="s">
        <v>952</v>
      </c>
      <c r="AH59" s="80" t="b">
        <v>0</v>
      </c>
      <c r="AI59" s="80" t="s">
        <v>967</v>
      </c>
      <c r="AJ59" s="80"/>
      <c r="AK59" s="83" t="s">
        <v>952</v>
      </c>
      <c r="AL59" s="80" t="b">
        <v>0</v>
      </c>
      <c r="AM59" s="80">
        <v>11</v>
      </c>
      <c r="AN59" s="83" t="s">
        <v>894</v>
      </c>
      <c r="AO59" s="83" t="s">
        <v>976</v>
      </c>
      <c r="AP59" s="80" t="b">
        <v>0</v>
      </c>
      <c r="AQ59" s="83" t="s">
        <v>894</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265</v>
      </c>
      <c r="B60" s="65" t="s">
        <v>331</v>
      </c>
      <c r="C60" s="66" t="s">
        <v>2815</v>
      </c>
      <c r="D60" s="67">
        <v>3</v>
      </c>
      <c r="E60" s="66" t="s">
        <v>132</v>
      </c>
      <c r="F60" s="69">
        <v>32</v>
      </c>
      <c r="G60" s="66"/>
      <c r="H60" s="70"/>
      <c r="I60" s="71"/>
      <c r="J60" s="71"/>
      <c r="K60" s="35" t="s">
        <v>65</v>
      </c>
      <c r="L60" s="72">
        <v>60</v>
      </c>
      <c r="M60" s="72"/>
      <c r="N60" s="73"/>
      <c r="O60" s="80" t="s">
        <v>407</v>
      </c>
      <c r="P60" s="82">
        <v>44476.41956018518</v>
      </c>
      <c r="Q60" s="80" t="s">
        <v>432</v>
      </c>
      <c r="R60" s="85" t="str">
        <f>HYPERLINK("https://econ.trib.al/UuLdSAj")</f>
        <v>https://econ.trib.al/UuLdSAj</v>
      </c>
      <c r="S60" s="80" t="s">
        <v>528</v>
      </c>
      <c r="T60" s="80"/>
      <c r="U60" s="80"/>
      <c r="V60" s="85" t="str">
        <f>HYPERLINK("https://pbs.twimg.com/profile_images/1237392210636627968/4AaYQWX-_normal.jpg")</f>
        <v>https://pbs.twimg.com/profile_images/1237392210636627968/4AaYQWX-_normal.jpg</v>
      </c>
      <c r="W60" s="82">
        <v>44476.41956018518</v>
      </c>
      <c r="X60" s="87">
        <v>44476</v>
      </c>
      <c r="Y60" s="83" t="s">
        <v>601</v>
      </c>
      <c r="Z60" s="85" t="str">
        <f>HYPERLINK("https://twitter.com/ezeonufo/status/1446053732903424001")</f>
        <v>https://twitter.com/ezeonufo/status/1446053732903424001</v>
      </c>
      <c r="AA60" s="80"/>
      <c r="AB60" s="80"/>
      <c r="AC60" s="83" t="s">
        <v>784</v>
      </c>
      <c r="AD60" s="80"/>
      <c r="AE60" s="80" t="b">
        <v>0</v>
      </c>
      <c r="AF60" s="80">
        <v>0</v>
      </c>
      <c r="AG60" s="83" t="s">
        <v>952</v>
      </c>
      <c r="AH60" s="80" t="b">
        <v>0</v>
      </c>
      <c r="AI60" s="80" t="s">
        <v>967</v>
      </c>
      <c r="AJ60" s="80"/>
      <c r="AK60" s="83" t="s">
        <v>952</v>
      </c>
      <c r="AL60" s="80" t="b">
        <v>0</v>
      </c>
      <c r="AM60" s="80">
        <v>11</v>
      </c>
      <c r="AN60" s="83" t="s">
        <v>894</v>
      </c>
      <c r="AO60" s="83" t="s">
        <v>976</v>
      </c>
      <c r="AP60" s="80" t="b">
        <v>0</v>
      </c>
      <c r="AQ60" s="83" t="s">
        <v>894</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265</v>
      </c>
      <c r="B61" s="65" t="s">
        <v>378</v>
      </c>
      <c r="C61" s="66" t="s">
        <v>2815</v>
      </c>
      <c r="D61" s="67">
        <v>3</v>
      </c>
      <c r="E61" s="66" t="s">
        <v>132</v>
      </c>
      <c r="F61" s="69">
        <v>32</v>
      </c>
      <c r="G61" s="66"/>
      <c r="H61" s="70"/>
      <c r="I61" s="71"/>
      <c r="J61" s="71"/>
      <c r="K61" s="35" t="s">
        <v>65</v>
      </c>
      <c r="L61" s="72">
        <v>61</v>
      </c>
      <c r="M61" s="72"/>
      <c r="N61" s="73"/>
      <c r="O61" s="80" t="s">
        <v>407</v>
      </c>
      <c r="P61" s="82">
        <v>44476.41956018518</v>
      </c>
      <c r="Q61" s="80" t="s">
        <v>432</v>
      </c>
      <c r="R61" s="85" t="str">
        <f>HYPERLINK("https://econ.trib.al/UuLdSAj")</f>
        <v>https://econ.trib.al/UuLdSAj</v>
      </c>
      <c r="S61" s="80" t="s">
        <v>528</v>
      </c>
      <c r="T61" s="80"/>
      <c r="U61" s="80"/>
      <c r="V61" s="85" t="str">
        <f>HYPERLINK("https://pbs.twimg.com/profile_images/1237392210636627968/4AaYQWX-_normal.jpg")</f>
        <v>https://pbs.twimg.com/profile_images/1237392210636627968/4AaYQWX-_normal.jpg</v>
      </c>
      <c r="W61" s="82">
        <v>44476.41956018518</v>
      </c>
      <c r="X61" s="87">
        <v>44476</v>
      </c>
      <c r="Y61" s="83" t="s">
        <v>601</v>
      </c>
      <c r="Z61" s="85" t="str">
        <f>HYPERLINK("https://twitter.com/ezeonufo/status/1446053732903424001")</f>
        <v>https://twitter.com/ezeonufo/status/1446053732903424001</v>
      </c>
      <c r="AA61" s="80"/>
      <c r="AB61" s="80"/>
      <c r="AC61" s="83" t="s">
        <v>784</v>
      </c>
      <c r="AD61" s="80"/>
      <c r="AE61" s="80" t="b">
        <v>0</v>
      </c>
      <c r="AF61" s="80">
        <v>0</v>
      </c>
      <c r="AG61" s="83" t="s">
        <v>952</v>
      </c>
      <c r="AH61" s="80" t="b">
        <v>0</v>
      </c>
      <c r="AI61" s="80" t="s">
        <v>967</v>
      </c>
      <c r="AJ61" s="80"/>
      <c r="AK61" s="83" t="s">
        <v>952</v>
      </c>
      <c r="AL61" s="80" t="b">
        <v>0</v>
      </c>
      <c r="AM61" s="80">
        <v>11</v>
      </c>
      <c r="AN61" s="83" t="s">
        <v>894</v>
      </c>
      <c r="AO61" s="83" t="s">
        <v>976</v>
      </c>
      <c r="AP61" s="80" t="b">
        <v>0</v>
      </c>
      <c r="AQ61" s="83" t="s">
        <v>894</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265</v>
      </c>
      <c r="B62" s="65" t="s">
        <v>342</v>
      </c>
      <c r="C62" s="66" t="s">
        <v>2815</v>
      </c>
      <c r="D62" s="67">
        <v>3</v>
      </c>
      <c r="E62" s="66" t="s">
        <v>132</v>
      </c>
      <c r="F62" s="69">
        <v>32</v>
      </c>
      <c r="G62" s="66"/>
      <c r="H62" s="70"/>
      <c r="I62" s="71"/>
      <c r="J62" s="71"/>
      <c r="K62" s="35" t="s">
        <v>65</v>
      </c>
      <c r="L62" s="72">
        <v>62</v>
      </c>
      <c r="M62" s="72"/>
      <c r="N62" s="73"/>
      <c r="O62" s="80" t="s">
        <v>408</v>
      </c>
      <c r="P62" s="82">
        <v>44476.41956018518</v>
      </c>
      <c r="Q62" s="80" t="s">
        <v>432</v>
      </c>
      <c r="R62" s="85" t="str">
        <f>HYPERLINK("https://econ.trib.al/UuLdSAj")</f>
        <v>https://econ.trib.al/UuLdSAj</v>
      </c>
      <c r="S62" s="80" t="s">
        <v>528</v>
      </c>
      <c r="T62" s="80"/>
      <c r="U62" s="80"/>
      <c r="V62" s="85" t="str">
        <f>HYPERLINK("https://pbs.twimg.com/profile_images/1237392210636627968/4AaYQWX-_normal.jpg")</f>
        <v>https://pbs.twimg.com/profile_images/1237392210636627968/4AaYQWX-_normal.jpg</v>
      </c>
      <c r="W62" s="82">
        <v>44476.41956018518</v>
      </c>
      <c r="X62" s="87">
        <v>44476</v>
      </c>
      <c r="Y62" s="83" t="s">
        <v>601</v>
      </c>
      <c r="Z62" s="85" t="str">
        <f>HYPERLINK("https://twitter.com/ezeonufo/status/1446053732903424001")</f>
        <v>https://twitter.com/ezeonufo/status/1446053732903424001</v>
      </c>
      <c r="AA62" s="80"/>
      <c r="AB62" s="80"/>
      <c r="AC62" s="83" t="s">
        <v>784</v>
      </c>
      <c r="AD62" s="80"/>
      <c r="AE62" s="80" t="b">
        <v>0</v>
      </c>
      <c r="AF62" s="80">
        <v>0</v>
      </c>
      <c r="AG62" s="83" t="s">
        <v>952</v>
      </c>
      <c r="AH62" s="80" t="b">
        <v>0</v>
      </c>
      <c r="AI62" s="80" t="s">
        <v>967</v>
      </c>
      <c r="AJ62" s="80"/>
      <c r="AK62" s="83" t="s">
        <v>952</v>
      </c>
      <c r="AL62" s="80" t="b">
        <v>0</v>
      </c>
      <c r="AM62" s="80">
        <v>11</v>
      </c>
      <c r="AN62" s="83" t="s">
        <v>894</v>
      </c>
      <c r="AO62" s="83" t="s">
        <v>976</v>
      </c>
      <c r="AP62" s="80" t="b">
        <v>0</v>
      </c>
      <c r="AQ62" s="83" t="s">
        <v>894</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34</v>
      </c>
      <c r="BM62" s="50">
        <v>100</v>
      </c>
      <c r="BN62" s="49">
        <v>34</v>
      </c>
    </row>
    <row r="63" spans="1:66" ht="15">
      <c r="A63" s="65" t="s">
        <v>266</v>
      </c>
      <c r="B63" s="65" t="s">
        <v>377</v>
      </c>
      <c r="C63" s="66" t="s">
        <v>2815</v>
      </c>
      <c r="D63" s="67">
        <v>3</v>
      </c>
      <c r="E63" s="66" t="s">
        <v>132</v>
      </c>
      <c r="F63" s="69">
        <v>32</v>
      </c>
      <c r="G63" s="66"/>
      <c r="H63" s="70"/>
      <c r="I63" s="71"/>
      <c r="J63" s="71"/>
      <c r="K63" s="35" t="s">
        <v>65</v>
      </c>
      <c r="L63" s="72">
        <v>63</v>
      </c>
      <c r="M63" s="72"/>
      <c r="N63" s="73"/>
      <c r="O63" s="80" t="s">
        <v>407</v>
      </c>
      <c r="P63" s="82">
        <v>44476.42521990741</v>
      </c>
      <c r="Q63" s="80" t="s">
        <v>432</v>
      </c>
      <c r="R63" s="85" t="str">
        <f>HYPERLINK("https://econ.trib.al/UuLdSAj")</f>
        <v>https://econ.trib.al/UuLdSAj</v>
      </c>
      <c r="S63" s="80" t="s">
        <v>528</v>
      </c>
      <c r="T63" s="80"/>
      <c r="U63" s="80"/>
      <c r="V63" s="85" t="str">
        <f>HYPERLINK("https://pbs.twimg.com/profile_images/1428037507921371136/3s8BY1x4_normal.jpg")</f>
        <v>https://pbs.twimg.com/profile_images/1428037507921371136/3s8BY1x4_normal.jpg</v>
      </c>
      <c r="W63" s="82">
        <v>44476.42521990741</v>
      </c>
      <c r="X63" s="87">
        <v>44476</v>
      </c>
      <c r="Y63" s="83" t="s">
        <v>602</v>
      </c>
      <c r="Z63" s="85" t="str">
        <f>HYPERLINK("https://twitter.com/deucejaxon/status/1446055783146344451")</f>
        <v>https://twitter.com/deucejaxon/status/1446055783146344451</v>
      </c>
      <c r="AA63" s="80"/>
      <c r="AB63" s="80"/>
      <c r="AC63" s="83" t="s">
        <v>785</v>
      </c>
      <c r="AD63" s="80"/>
      <c r="AE63" s="80" t="b">
        <v>0</v>
      </c>
      <c r="AF63" s="80">
        <v>0</v>
      </c>
      <c r="AG63" s="83" t="s">
        <v>952</v>
      </c>
      <c r="AH63" s="80" t="b">
        <v>0</v>
      </c>
      <c r="AI63" s="80" t="s">
        <v>967</v>
      </c>
      <c r="AJ63" s="80"/>
      <c r="AK63" s="83" t="s">
        <v>952</v>
      </c>
      <c r="AL63" s="80" t="b">
        <v>0</v>
      </c>
      <c r="AM63" s="80">
        <v>11</v>
      </c>
      <c r="AN63" s="83" t="s">
        <v>894</v>
      </c>
      <c r="AO63" s="83" t="s">
        <v>972</v>
      </c>
      <c r="AP63" s="80" t="b">
        <v>0</v>
      </c>
      <c r="AQ63" s="83" t="s">
        <v>894</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266</v>
      </c>
      <c r="B64" s="65" t="s">
        <v>331</v>
      </c>
      <c r="C64" s="66" t="s">
        <v>2815</v>
      </c>
      <c r="D64" s="67">
        <v>3</v>
      </c>
      <c r="E64" s="66" t="s">
        <v>132</v>
      </c>
      <c r="F64" s="69">
        <v>32</v>
      </c>
      <c r="G64" s="66"/>
      <c r="H64" s="70"/>
      <c r="I64" s="71"/>
      <c r="J64" s="71"/>
      <c r="K64" s="35" t="s">
        <v>65</v>
      </c>
      <c r="L64" s="72">
        <v>64</v>
      </c>
      <c r="M64" s="72"/>
      <c r="N64" s="73"/>
      <c r="O64" s="80" t="s">
        <v>407</v>
      </c>
      <c r="P64" s="82">
        <v>44476.42521990741</v>
      </c>
      <c r="Q64" s="80" t="s">
        <v>432</v>
      </c>
      <c r="R64" s="85" t="str">
        <f>HYPERLINK("https://econ.trib.al/UuLdSAj")</f>
        <v>https://econ.trib.al/UuLdSAj</v>
      </c>
      <c r="S64" s="80" t="s">
        <v>528</v>
      </c>
      <c r="T64" s="80"/>
      <c r="U64" s="80"/>
      <c r="V64" s="85" t="str">
        <f>HYPERLINK("https://pbs.twimg.com/profile_images/1428037507921371136/3s8BY1x4_normal.jpg")</f>
        <v>https://pbs.twimg.com/profile_images/1428037507921371136/3s8BY1x4_normal.jpg</v>
      </c>
      <c r="W64" s="82">
        <v>44476.42521990741</v>
      </c>
      <c r="X64" s="87">
        <v>44476</v>
      </c>
      <c r="Y64" s="83" t="s">
        <v>602</v>
      </c>
      <c r="Z64" s="85" t="str">
        <f>HYPERLINK("https://twitter.com/deucejaxon/status/1446055783146344451")</f>
        <v>https://twitter.com/deucejaxon/status/1446055783146344451</v>
      </c>
      <c r="AA64" s="80"/>
      <c r="AB64" s="80"/>
      <c r="AC64" s="83" t="s">
        <v>785</v>
      </c>
      <c r="AD64" s="80"/>
      <c r="AE64" s="80" t="b">
        <v>0</v>
      </c>
      <c r="AF64" s="80">
        <v>0</v>
      </c>
      <c r="AG64" s="83" t="s">
        <v>952</v>
      </c>
      <c r="AH64" s="80" t="b">
        <v>0</v>
      </c>
      <c r="AI64" s="80" t="s">
        <v>967</v>
      </c>
      <c r="AJ64" s="80"/>
      <c r="AK64" s="83" t="s">
        <v>952</v>
      </c>
      <c r="AL64" s="80" t="b">
        <v>0</v>
      </c>
      <c r="AM64" s="80">
        <v>11</v>
      </c>
      <c r="AN64" s="83" t="s">
        <v>894</v>
      </c>
      <c r="AO64" s="83" t="s">
        <v>972</v>
      </c>
      <c r="AP64" s="80" t="b">
        <v>0</v>
      </c>
      <c r="AQ64" s="83" t="s">
        <v>894</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266</v>
      </c>
      <c r="B65" s="65" t="s">
        <v>378</v>
      </c>
      <c r="C65" s="66" t="s">
        <v>2815</v>
      </c>
      <c r="D65" s="67">
        <v>3</v>
      </c>
      <c r="E65" s="66" t="s">
        <v>132</v>
      </c>
      <c r="F65" s="69">
        <v>32</v>
      </c>
      <c r="G65" s="66"/>
      <c r="H65" s="70"/>
      <c r="I65" s="71"/>
      <c r="J65" s="71"/>
      <c r="K65" s="35" t="s">
        <v>65</v>
      </c>
      <c r="L65" s="72">
        <v>65</v>
      </c>
      <c r="M65" s="72"/>
      <c r="N65" s="73"/>
      <c r="O65" s="80" t="s">
        <v>407</v>
      </c>
      <c r="P65" s="82">
        <v>44476.42521990741</v>
      </c>
      <c r="Q65" s="80" t="s">
        <v>432</v>
      </c>
      <c r="R65" s="85" t="str">
        <f>HYPERLINK("https://econ.trib.al/UuLdSAj")</f>
        <v>https://econ.trib.al/UuLdSAj</v>
      </c>
      <c r="S65" s="80" t="s">
        <v>528</v>
      </c>
      <c r="T65" s="80"/>
      <c r="U65" s="80"/>
      <c r="V65" s="85" t="str">
        <f>HYPERLINK("https://pbs.twimg.com/profile_images/1428037507921371136/3s8BY1x4_normal.jpg")</f>
        <v>https://pbs.twimg.com/profile_images/1428037507921371136/3s8BY1x4_normal.jpg</v>
      </c>
      <c r="W65" s="82">
        <v>44476.42521990741</v>
      </c>
      <c r="X65" s="87">
        <v>44476</v>
      </c>
      <c r="Y65" s="83" t="s">
        <v>602</v>
      </c>
      <c r="Z65" s="85" t="str">
        <f>HYPERLINK("https://twitter.com/deucejaxon/status/1446055783146344451")</f>
        <v>https://twitter.com/deucejaxon/status/1446055783146344451</v>
      </c>
      <c r="AA65" s="80"/>
      <c r="AB65" s="80"/>
      <c r="AC65" s="83" t="s">
        <v>785</v>
      </c>
      <c r="AD65" s="80"/>
      <c r="AE65" s="80" t="b">
        <v>0</v>
      </c>
      <c r="AF65" s="80">
        <v>0</v>
      </c>
      <c r="AG65" s="83" t="s">
        <v>952</v>
      </c>
      <c r="AH65" s="80" t="b">
        <v>0</v>
      </c>
      <c r="AI65" s="80" t="s">
        <v>967</v>
      </c>
      <c r="AJ65" s="80"/>
      <c r="AK65" s="83" t="s">
        <v>952</v>
      </c>
      <c r="AL65" s="80" t="b">
        <v>0</v>
      </c>
      <c r="AM65" s="80">
        <v>11</v>
      </c>
      <c r="AN65" s="83" t="s">
        <v>894</v>
      </c>
      <c r="AO65" s="83" t="s">
        <v>972</v>
      </c>
      <c r="AP65" s="80" t="b">
        <v>0</v>
      </c>
      <c r="AQ65" s="83" t="s">
        <v>894</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266</v>
      </c>
      <c r="B66" s="65" t="s">
        <v>342</v>
      </c>
      <c r="C66" s="66" t="s">
        <v>2815</v>
      </c>
      <c r="D66" s="67">
        <v>3</v>
      </c>
      <c r="E66" s="66" t="s">
        <v>132</v>
      </c>
      <c r="F66" s="69">
        <v>32</v>
      </c>
      <c r="G66" s="66"/>
      <c r="H66" s="70"/>
      <c r="I66" s="71"/>
      <c r="J66" s="71"/>
      <c r="K66" s="35" t="s">
        <v>65</v>
      </c>
      <c r="L66" s="72">
        <v>66</v>
      </c>
      <c r="M66" s="72"/>
      <c r="N66" s="73"/>
      <c r="O66" s="80" t="s">
        <v>408</v>
      </c>
      <c r="P66" s="82">
        <v>44476.42521990741</v>
      </c>
      <c r="Q66" s="80" t="s">
        <v>432</v>
      </c>
      <c r="R66" s="85" t="str">
        <f>HYPERLINK("https://econ.trib.al/UuLdSAj")</f>
        <v>https://econ.trib.al/UuLdSAj</v>
      </c>
      <c r="S66" s="80" t="s">
        <v>528</v>
      </c>
      <c r="T66" s="80"/>
      <c r="U66" s="80"/>
      <c r="V66" s="85" t="str">
        <f>HYPERLINK("https://pbs.twimg.com/profile_images/1428037507921371136/3s8BY1x4_normal.jpg")</f>
        <v>https://pbs.twimg.com/profile_images/1428037507921371136/3s8BY1x4_normal.jpg</v>
      </c>
      <c r="W66" s="82">
        <v>44476.42521990741</v>
      </c>
      <c r="X66" s="87">
        <v>44476</v>
      </c>
      <c r="Y66" s="83" t="s">
        <v>602</v>
      </c>
      <c r="Z66" s="85" t="str">
        <f>HYPERLINK("https://twitter.com/deucejaxon/status/1446055783146344451")</f>
        <v>https://twitter.com/deucejaxon/status/1446055783146344451</v>
      </c>
      <c r="AA66" s="80"/>
      <c r="AB66" s="80"/>
      <c r="AC66" s="83" t="s">
        <v>785</v>
      </c>
      <c r="AD66" s="80"/>
      <c r="AE66" s="80" t="b">
        <v>0</v>
      </c>
      <c r="AF66" s="80">
        <v>0</v>
      </c>
      <c r="AG66" s="83" t="s">
        <v>952</v>
      </c>
      <c r="AH66" s="80" t="b">
        <v>0</v>
      </c>
      <c r="AI66" s="80" t="s">
        <v>967</v>
      </c>
      <c r="AJ66" s="80"/>
      <c r="AK66" s="83" t="s">
        <v>952</v>
      </c>
      <c r="AL66" s="80" t="b">
        <v>0</v>
      </c>
      <c r="AM66" s="80">
        <v>11</v>
      </c>
      <c r="AN66" s="83" t="s">
        <v>894</v>
      </c>
      <c r="AO66" s="83" t="s">
        <v>972</v>
      </c>
      <c r="AP66" s="80" t="b">
        <v>0</v>
      </c>
      <c r="AQ66" s="83" t="s">
        <v>894</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34</v>
      </c>
      <c r="BM66" s="50">
        <v>100</v>
      </c>
      <c r="BN66" s="49">
        <v>34</v>
      </c>
    </row>
    <row r="67" spans="1:66" ht="15">
      <c r="A67" s="65" t="s">
        <v>267</v>
      </c>
      <c r="B67" s="65" t="s">
        <v>314</v>
      </c>
      <c r="C67" s="66" t="s">
        <v>2815</v>
      </c>
      <c r="D67" s="67">
        <v>3</v>
      </c>
      <c r="E67" s="66" t="s">
        <v>132</v>
      </c>
      <c r="F67" s="69">
        <v>32</v>
      </c>
      <c r="G67" s="66"/>
      <c r="H67" s="70"/>
      <c r="I67" s="71"/>
      <c r="J67" s="71"/>
      <c r="K67" s="35" t="s">
        <v>65</v>
      </c>
      <c r="L67" s="72">
        <v>67</v>
      </c>
      <c r="M67" s="72"/>
      <c r="N67" s="73"/>
      <c r="O67" s="80" t="s">
        <v>408</v>
      </c>
      <c r="P67" s="82">
        <v>44476.4399537037</v>
      </c>
      <c r="Q67" s="80" t="s">
        <v>433</v>
      </c>
      <c r="R67" s="85" t="str">
        <f>HYPERLINK("https://plantbasednews.org/news/australian-company-create-cell-based-meat-from-exotic-animals/")</f>
        <v>https://plantbasednews.org/news/australian-company-create-cell-based-meat-from-exotic-animals/</v>
      </c>
      <c r="S67" s="80" t="s">
        <v>529</v>
      </c>
      <c r="T67" s="80"/>
      <c r="U67" s="80"/>
      <c r="V67" s="85" t="str">
        <f>HYPERLINK("https://pbs.twimg.com/profile_images/1336618044135600129/fiaagpi6_normal.jpg")</f>
        <v>https://pbs.twimg.com/profile_images/1336618044135600129/fiaagpi6_normal.jpg</v>
      </c>
      <c r="W67" s="82">
        <v>44476.4399537037</v>
      </c>
      <c r="X67" s="87">
        <v>44476</v>
      </c>
      <c r="Y67" s="83" t="s">
        <v>603</v>
      </c>
      <c r="Z67" s="85" t="str">
        <f>HYPERLINK("https://twitter.com/andrew41544161/status/1446061121128091654")</f>
        <v>https://twitter.com/andrew41544161/status/1446061121128091654</v>
      </c>
      <c r="AA67" s="80"/>
      <c r="AB67" s="80"/>
      <c r="AC67" s="83" t="s">
        <v>786</v>
      </c>
      <c r="AD67" s="80"/>
      <c r="AE67" s="80" t="b">
        <v>0</v>
      </c>
      <c r="AF67" s="80">
        <v>0</v>
      </c>
      <c r="AG67" s="83" t="s">
        <v>952</v>
      </c>
      <c r="AH67" s="80" t="b">
        <v>0</v>
      </c>
      <c r="AI67" s="80" t="s">
        <v>967</v>
      </c>
      <c r="AJ67" s="80"/>
      <c r="AK67" s="83" t="s">
        <v>952</v>
      </c>
      <c r="AL67" s="80" t="b">
        <v>0</v>
      </c>
      <c r="AM67" s="80">
        <v>4</v>
      </c>
      <c r="AN67" s="83" t="s">
        <v>838</v>
      </c>
      <c r="AO67" s="83" t="s">
        <v>972</v>
      </c>
      <c r="AP67" s="80" t="b">
        <v>0</v>
      </c>
      <c r="AQ67" s="83" t="s">
        <v>838</v>
      </c>
      <c r="AR67" s="80" t="s">
        <v>196</v>
      </c>
      <c r="AS67" s="80">
        <v>0</v>
      </c>
      <c r="AT67" s="80">
        <v>0</v>
      </c>
      <c r="AU67" s="80"/>
      <c r="AV67" s="80"/>
      <c r="AW67" s="80"/>
      <c r="AX67" s="80"/>
      <c r="AY67" s="80"/>
      <c r="AZ67" s="80"/>
      <c r="BA67" s="80"/>
      <c r="BB67" s="80"/>
      <c r="BC67">
        <v>1</v>
      </c>
      <c r="BD67" s="79" t="str">
        <f>REPLACE(INDEX(GroupVertices[Group],MATCH(Edges[[#This Row],[Vertex 1]],GroupVertices[Vertex],0)),1,1,"")</f>
        <v>14</v>
      </c>
      <c r="BE67" s="79" t="str">
        <f>REPLACE(INDEX(GroupVertices[Group],MATCH(Edges[[#This Row],[Vertex 2]],GroupVertices[Vertex],0)),1,1,"")</f>
        <v>14</v>
      </c>
      <c r="BF67" s="49">
        <v>1</v>
      </c>
      <c r="BG67" s="50">
        <v>7.142857142857143</v>
      </c>
      <c r="BH67" s="49">
        <v>0</v>
      </c>
      <c r="BI67" s="50">
        <v>0</v>
      </c>
      <c r="BJ67" s="49">
        <v>0</v>
      </c>
      <c r="BK67" s="50">
        <v>0</v>
      </c>
      <c r="BL67" s="49">
        <v>13</v>
      </c>
      <c r="BM67" s="50">
        <v>92.85714285714286</v>
      </c>
      <c r="BN67" s="49">
        <v>14</v>
      </c>
    </row>
    <row r="68" spans="1:66" ht="15">
      <c r="A68" s="65" t="s">
        <v>268</v>
      </c>
      <c r="B68" s="65" t="s">
        <v>377</v>
      </c>
      <c r="C68" s="66" t="s">
        <v>2815</v>
      </c>
      <c r="D68" s="67">
        <v>3</v>
      </c>
      <c r="E68" s="66" t="s">
        <v>132</v>
      </c>
      <c r="F68" s="69">
        <v>32</v>
      </c>
      <c r="G68" s="66"/>
      <c r="H68" s="70"/>
      <c r="I68" s="71"/>
      <c r="J68" s="71"/>
      <c r="K68" s="35" t="s">
        <v>65</v>
      </c>
      <c r="L68" s="72">
        <v>68</v>
      </c>
      <c r="M68" s="72"/>
      <c r="N68" s="73"/>
      <c r="O68" s="80" t="s">
        <v>407</v>
      </c>
      <c r="P68" s="82">
        <v>44476.45662037037</v>
      </c>
      <c r="Q68" s="80" t="s">
        <v>432</v>
      </c>
      <c r="R68" s="85" t="str">
        <f>HYPERLINK("https://econ.trib.al/UuLdSAj")</f>
        <v>https://econ.trib.al/UuLdSAj</v>
      </c>
      <c r="S68" s="80" t="s">
        <v>528</v>
      </c>
      <c r="T68" s="80"/>
      <c r="U68" s="80"/>
      <c r="V68" s="85" t="str">
        <f>HYPERLINK("https://pbs.twimg.com/profile_images/1446880773617840134/cgmXbaXq_normal.jpg")</f>
        <v>https://pbs.twimg.com/profile_images/1446880773617840134/cgmXbaXq_normal.jpg</v>
      </c>
      <c r="W68" s="82">
        <v>44476.45662037037</v>
      </c>
      <c r="X68" s="87">
        <v>44476</v>
      </c>
      <c r="Y68" s="83" t="s">
        <v>604</v>
      </c>
      <c r="Z68" s="85" t="str">
        <f>HYPERLINK("https://twitter.com/y_supansa/status/1446067160829227009")</f>
        <v>https://twitter.com/y_supansa/status/1446067160829227009</v>
      </c>
      <c r="AA68" s="80"/>
      <c r="AB68" s="80"/>
      <c r="AC68" s="83" t="s">
        <v>787</v>
      </c>
      <c r="AD68" s="80"/>
      <c r="AE68" s="80" t="b">
        <v>0</v>
      </c>
      <c r="AF68" s="80">
        <v>0</v>
      </c>
      <c r="AG68" s="83" t="s">
        <v>952</v>
      </c>
      <c r="AH68" s="80" t="b">
        <v>0</v>
      </c>
      <c r="AI68" s="80" t="s">
        <v>967</v>
      </c>
      <c r="AJ68" s="80"/>
      <c r="AK68" s="83" t="s">
        <v>952</v>
      </c>
      <c r="AL68" s="80" t="b">
        <v>0</v>
      </c>
      <c r="AM68" s="80">
        <v>11</v>
      </c>
      <c r="AN68" s="83" t="s">
        <v>894</v>
      </c>
      <c r="AO68" s="83" t="s">
        <v>976</v>
      </c>
      <c r="AP68" s="80" t="b">
        <v>0</v>
      </c>
      <c r="AQ68" s="83" t="s">
        <v>894</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268</v>
      </c>
      <c r="B69" s="65" t="s">
        <v>331</v>
      </c>
      <c r="C69" s="66" t="s">
        <v>2815</v>
      </c>
      <c r="D69" s="67">
        <v>3</v>
      </c>
      <c r="E69" s="66" t="s">
        <v>132</v>
      </c>
      <c r="F69" s="69">
        <v>32</v>
      </c>
      <c r="G69" s="66"/>
      <c r="H69" s="70"/>
      <c r="I69" s="71"/>
      <c r="J69" s="71"/>
      <c r="K69" s="35" t="s">
        <v>65</v>
      </c>
      <c r="L69" s="72">
        <v>69</v>
      </c>
      <c r="M69" s="72"/>
      <c r="N69" s="73"/>
      <c r="O69" s="80" t="s">
        <v>407</v>
      </c>
      <c r="P69" s="82">
        <v>44476.45662037037</v>
      </c>
      <c r="Q69" s="80" t="s">
        <v>432</v>
      </c>
      <c r="R69" s="85" t="str">
        <f>HYPERLINK("https://econ.trib.al/UuLdSAj")</f>
        <v>https://econ.trib.al/UuLdSAj</v>
      </c>
      <c r="S69" s="80" t="s">
        <v>528</v>
      </c>
      <c r="T69" s="80"/>
      <c r="U69" s="80"/>
      <c r="V69" s="85" t="str">
        <f>HYPERLINK("https://pbs.twimg.com/profile_images/1446880773617840134/cgmXbaXq_normal.jpg")</f>
        <v>https://pbs.twimg.com/profile_images/1446880773617840134/cgmXbaXq_normal.jpg</v>
      </c>
      <c r="W69" s="82">
        <v>44476.45662037037</v>
      </c>
      <c r="X69" s="87">
        <v>44476</v>
      </c>
      <c r="Y69" s="83" t="s">
        <v>604</v>
      </c>
      <c r="Z69" s="85" t="str">
        <f>HYPERLINK("https://twitter.com/y_supansa/status/1446067160829227009")</f>
        <v>https://twitter.com/y_supansa/status/1446067160829227009</v>
      </c>
      <c r="AA69" s="80"/>
      <c r="AB69" s="80"/>
      <c r="AC69" s="83" t="s">
        <v>787</v>
      </c>
      <c r="AD69" s="80"/>
      <c r="AE69" s="80" t="b">
        <v>0</v>
      </c>
      <c r="AF69" s="80">
        <v>0</v>
      </c>
      <c r="AG69" s="83" t="s">
        <v>952</v>
      </c>
      <c r="AH69" s="80" t="b">
        <v>0</v>
      </c>
      <c r="AI69" s="80" t="s">
        <v>967</v>
      </c>
      <c r="AJ69" s="80"/>
      <c r="AK69" s="83" t="s">
        <v>952</v>
      </c>
      <c r="AL69" s="80" t="b">
        <v>0</v>
      </c>
      <c r="AM69" s="80">
        <v>11</v>
      </c>
      <c r="AN69" s="83" t="s">
        <v>894</v>
      </c>
      <c r="AO69" s="83" t="s">
        <v>976</v>
      </c>
      <c r="AP69" s="80" t="b">
        <v>0</v>
      </c>
      <c r="AQ69" s="83" t="s">
        <v>894</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268</v>
      </c>
      <c r="B70" s="65" t="s">
        <v>378</v>
      </c>
      <c r="C70" s="66" t="s">
        <v>2815</v>
      </c>
      <c r="D70" s="67">
        <v>3</v>
      </c>
      <c r="E70" s="66" t="s">
        <v>132</v>
      </c>
      <c r="F70" s="69">
        <v>32</v>
      </c>
      <c r="G70" s="66"/>
      <c r="H70" s="70"/>
      <c r="I70" s="71"/>
      <c r="J70" s="71"/>
      <c r="K70" s="35" t="s">
        <v>65</v>
      </c>
      <c r="L70" s="72">
        <v>70</v>
      </c>
      <c r="M70" s="72"/>
      <c r="N70" s="73"/>
      <c r="O70" s="80" t="s">
        <v>407</v>
      </c>
      <c r="P70" s="82">
        <v>44476.45662037037</v>
      </c>
      <c r="Q70" s="80" t="s">
        <v>432</v>
      </c>
      <c r="R70" s="85" t="str">
        <f>HYPERLINK("https://econ.trib.al/UuLdSAj")</f>
        <v>https://econ.trib.al/UuLdSAj</v>
      </c>
      <c r="S70" s="80" t="s">
        <v>528</v>
      </c>
      <c r="T70" s="80"/>
      <c r="U70" s="80"/>
      <c r="V70" s="85" t="str">
        <f>HYPERLINK("https://pbs.twimg.com/profile_images/1446880773617840134/cgmXbaXq_normal.jpg")</f>
        <v>https://pbs.twimg.com/profile_images/1446880773617840134/cgmXbaXq_normal.jpg</v>
      </c>
      <c r="W70" s="82">
        <v>44476.45662037037</v>
      </c>
      <c r="X70" s="87">
        <v>44476</v>
      </c>
      <c r="Y70" s="83" t="s">
        <v>604</v>
      </c>
      <c r="Z70" s="85" t="str">
        <f>HYPERLINK("https://twitter.com/y_supansa/status/1446067160829227009")</f>
        <v>https://twitter.com/y_supansa/status/1446067160829227009</v>
      </c>
      <c r="AA70" s="80"/>
      <c r="AB70" s="80"/>
      <c r="AC70" s="83" t="s">
        <v>787</v>
      </c>
      <c r="AD70" s="80"/>
      <c r="AE70" s="80" t="b">
        <v>0</v>
      </c>
      <c r="AF70" s="80">
        <v>0</v>
      </c>
      <c r="AG70" s="83" t="s">
        <v>952</v>
      </c>
      <c r="AH70" s="80" t="b">
        <v>0</v>
      </c>
      <c r="AI70" s="80" t="s">
        <v>967</v>
      </c>
      <c r="AJ70" s="80"/>
      <c r="AK70" s="83" t="s">
        <v>952</v>
      </c>
      <c r="AL70" s="80" t="b">
        <v>0</v>
      </c>
      <c r="AM70" s="80">
        <v>11</v>
      </c>
      <c r="AN70" s="83" t="s">
        <v>894</v>
      </c>
      <c r="AO70" s="83" t="s">
        <v>976</v>
      </c>
      <c r="AP70" s="80" t="b">
        <v>0</v>
      </c>
      <c r="AQ70" s="83" t="s">
        <v>894</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268</v>
      </c>
      <c r="B71" s="65" t="s">
        <v>342</v>
      </c>
      <c r="C71" s="66" t="s">
        <v>2815</v>
      </c>
      <c r="D71" s="67">
        <v>3</v>
      </c>
      <c r="E71" s="66" t="s">
        <v>132</v>
      </c>
      <c r="F71" s="69">
        <v>32</v>
      </c>
      <c r="G71" s="66"/>
      <c r="H71" s="70"/>
      <c r="I71" s="71"/>
      <c r="J71" s="71"/>
      <c r="K71" s="35" t="s">
        <v>65</v>
      </c>
      <c r="L71" s="72">
        <v>71</v>
      </c>
      <c r="M71" s="72"/>
      <c r="N71" s="73"/>
      <c r="O71" s="80" t="s">
        <v>408</v>
      </c>
      <c r="P71" s="82">
        <v>44476.45662037037</v>
      </c>
      <c r="Q71" s="80" t="s">
        <v>432</v>
      </c>
      <c r="R71" s="85" t="str">
        <f>HYPERLINK("https://econ.trib.al/UuLdSAj")</f>
        <v>https://econ.trib.al/UuLdSAj</v>
      </c>
      <c r="S71" s="80" t="s">
        <v>528</v>
      </c>
      <c r="T71" s="80"/>
      <c r="U71" s="80"/>
      <c r="V71" s="85" t="str">
        <f>HYPERLINK("https://pbs.twimg.com/profile_images/1446880773617840134/cgmXbaXq_normal.jpg")</f>
        <v>https://pbs.twimg.com/profile_images/1446880773617840134/cgmXbaXq_normal.jpg</v>
      </c>
      <c r="W71" s="82">
        <v>44476.45662037037</v>
      </c>
      <c r="X71" s="87">
        <v>44476</v>
      </c>
      <c r="Y71" s="83" t="s">
        <v>604</v>
      </c>
      <c r="Z71" s="85" t="str">
        <f>HYPERLINK("https://twitter.com/y_supansa/status/1446067160829227009")</f>
        <v>https://twitter.com/y_supansa/status/1446067160829227009</v>
      </c>
      <c r="AA71" s="80"/>
      <c r="AB71" s="80"/>
      <c r="AC71" s="83" t="s">
        <v>787</v>
      </c>
      <c r="AD71" s="80"/>
      <c r="AE71" s="80" t="b">
        <v>0</v>
      </c>
      <c r="AF71" s="80">
        <v>0</v>
      </c>
      <c r="AG71" s="83" t="s">
        <v>952</v>
      </c>
      <c r="AH71" s="80" t="b">
        <v>0</v>
      </c>
      <c r="AI71" s="80" t="s">
        <v>967</v>
      </c>
      <c r="AJ71" s="80"/>
      <c r="AK71" s="83" t="s">
        <v>952</v>
      </c>
      <c r="AL71" s="80" t="b">
        <v>0</v>
      </c>
      <c r="AM71" s="80">
        <v>11</v>
      </c>
      <c r="AN71" s="83" t="s">
        <v>894</v>
      </c>
      <c r="AO71" s="83" t="s">
        <v>976</v>
      </c>
      <c r="AP71" s="80" t="b">
        <v>0</v>
      </c>
      <c r="AQ71" s="83" t="s">
        <v>894</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34</v>
      </c>
      <c r="BM71" s="50">
        <v>100</v>
      </c>
      <c r="BN71" s="49">
        <v>34</v>
      </c>
    </row>
    <row r="72" spans="1:66" ht="15">
      <c r="A72" s="65" t="s">
        <v>269</v>
      </c>
      <c r="B72" s="65" t="s">
        <v>269</v>
      </c>
      <c r="C72" s="66" t="s">
        <v>2815</v>
      </c>
      <c r="D72" s="67">
        <v>3</v>
      </c>
      <c r="E72" s="66" t="s">
        <v>132</v>
      </c>
      <c r="F72" s="69">
        <v>32</v>
      </c>
      <c r="G72" s="66"/>
      <c r="H72" s="70"/>
      <c r="I72" s="71"/>
      <c r="J72" s="71"/>
      <c r="K72" s="35" t="s">
        <v>65</v>
      </c>
      <c r="L72" s="72">
        <v>72</v>
      </c>
      <c r="M72" s="72"/>
      <c r="N72" s="73"/>
      <c r="O72" s="80" t="s">
        <v>196</v>
      </c>
      <c r="P72" s="82">
        <v>44467.54224537037</v>
      </c>
      <c r="Q72" s="80" t="s">
        <v>434</v>
      </c>
      <c r="R72" s="85" t="str">
        <f>HYPERLINK("https://www.foodpolitics.com/2021/09/meat-alternatives-cell-based/")</f>
        <v>https://www.foodpolitics.com/2021/09/meat-alternatives-cell-based/</v>
      </c>
      <c r="S72" s="80" t="s">
        <v>530</v>
      </c>
      <c r="T72" s="80"/>
      <c r="U72" s="80"/>
      <c r="V72" s="85" t="str">
        <f>HYPERLINK("https://pbs.twimg.com/profile_images/993312802654765057/E-GFQ2Ne_normal.jpg")</f>
        <v>https://pbs.twimg.com/profile_images/993312802654765057/E-GFQ2Ne_normal.jpg</v>
      </c>
      <c r="W72" s="82">
        <v>44467.54224537037</v>
      </c>
      <c r="X72" s="87">
        <v>44467</v>
      </c>
      <c r="Y72" s="83" t="s">
        <v>605</v>
      </c>
      <c r="Z72" s="85" t="str">
        <f>HYPERLINK("https://twitter.com/marionnestle/status/1442836700049428481")</f>
        <v>https://twitter.com/marionnestle/status/1442836700049428481</v>
      </c>
      <c r="AA72" s="80"/>
      <c r="AB72" s="80"/>
      <c r="AC72" s="83" t="s">
        <v>788</v>
      </c>
      <c r="AD72" s="80"/>
      <c r="AE72" s="80" t="b">
        <v>0</v>
      </c>
      <c r="AF72" s="80">
        <v>14</v>
      </c>
      <c r="AG72" s="83" t="s">
        <v>952</v>
      </c>
      <c r="AH72" s="80" t="b">
        <v>0</v>
      </c>
      <c r="AI72" s="80" t="s">
        <v>967</v>
      </c>
      <c r="AJ72" s="80"/>
      <c r="AK72" s="83" t="s">
        <v>952</v>
      </c>
      <c r="AL72" s="80" t="b">
        <v>0</v>
      </c>
      <c r="AM72" s="80">
        <v>5</v>
      </c>
      <c r="AN72" s="83" t="s">
        <v>952</v>
      </c>
      <c r="AO72" s="83" t="s">
        <v>980</v>
      </c>
      <c r="AP72" s="80" t="b">
        <v>0</v>
      </c>
      <c r="AQ72" s="83" t="s">
        <v>788</v>
      </c>
      <c r="AR72" s="80" t="s">
        <v>408</v>
      </c>
      <c r="AS72" s="80">
        <v>0</v>
      </c>
      <c r="AT72" s="80">
        <v>0</v>
      </c>
      <c r="AU72" s="80"/>
      <c r="AV72" s="80"/>
      <c r="AW72" s="80"/>
      <c r="AX72" s="80"/>
      <c r="AY72" s="80"/>
      <c r="AZ72" s="80"/>
      <c r="BA72" s="80"/>
      <c r="BB72" s="80"/>
      <c r="BC72">
        <v>1</v>
      </c>
      <c r="BD72" s="79" t="str">
        <f>REPLACE(INDEX(GroupVertices[Group],MATCH(Edges[[#This Row],[Vertex 1]],GroupVertices[Vertex],0)),1,1,"")</f>
        <v>24</v>
      </c>
      <c r="BE72" s="79" t="str">
        <f>REPLACE(INDEX(GroupVertices[Group],MATCH(Edges[[#This Row],[Vertex 2]],GroupVertices[Vertex],0)),1,1,"")</f>
        <v>24</v>
      </c>
      <c r="BF72" s="49">
        <v>0</v>
      </c>
      <c r="BG72" s="50">
        <v>0</v>
      </c>
      <c r="BH72" s="49">
        <v>0</v>
      </c>
      <c r="BI72" s="50">
        <v>0</v>
      </c>
      <c r="BJ72" s="49">
        <v>0</v>
      </c>
      <c r="BK72" s="50">
        <v>0</v>
      </c>
      <c r="BL72" s="49">
        <v>4</v>
      </c>
      <c r="BM72" s="50">
        <v>100</v>
      </c>
      <c r="BN72" s="49">
        <v>4</v>
      </c>
    </row>
    <row r="73" spans="1:66" ht="15">
      <c r="A73" s="65" t="s">
        <v>270</v>
      </c>
      <c r="B73" s="65" t="s">
        <v>269</v>
      </c>
      <c r="C73" s="66" t="s">
        <v>2815</v>
      </c>
      <c r="D73" s="67">
        <v>3</v>
      </c>
      <c r="E73" s="66" t="s">
        <v>132</v>
      </c>
      <c r="F73" s="69">
        <v>32</v>
      </c>
      <c r="G73" s="66"/>
      <c r="H73" s="70"/>
      <c r="I73" s="71"/>
      <c r="J73" s="71"/>
      <c r="K73" s="35" t="s">
        <v>65</v>
      </c>
      <c r="L73" s="72">
        <v>73</v>
      </c>
      <c r="M73" s="72"/>
      <c r="N73" s="73"/>
      <c r="O73" s="80" t="s">
        <v>408</v>
      </c>
      <c r="P73" s="82">
        <v>44476.487905092596</v>
      </c>
      <c r="Q73" s="80" t="s">
        <v>434</v>
      </c>
      <c r="R73" s="85" t="str">
        <f>HYPERLINK("https://www.foodpolitics.com/2021/09/meat-alternatives-cell-based/")</f>
        <v>https://www.foodpolitics.com/2021/09/meat-alternatives-cell-based/</v>
      </c>
      <c r="S73" s="80" t="s">
        <v>530</v>
      </c>
      <c r="T73" s="80"/>
      <c r="U73" s="80"/>
      <c r="V73" s="85" t="str">
        <f>HYPERLINK("https://pbs.twimg.com/profile_images/1200220758598750208/7cL1vRFe_normal.jpg")</f>
        <v>https://pbs.twimg.com/profile_images/1200220758598750208/7cL1vRFe_normal.jpg</v>
      </c>
      <c r="W73" s="82">
        <v>44476.487905092596</v>
      </c>
      <c r="X73" s="87">
        <v>44476</v>
      </c>
      <c r="Y73" s="83" t="s">
        <v>606</v>
      </c>
      <c r="Z73" s="85" t="str">
        <f>HYPERLINK("https://twitter.com/jessica_raneri/status/1446078496640409602")</f>
        <v>https://twitter.com/jessica_raneri/status/1446078496640409602</v>
      </c>
      <c r="AA73" s="80"/>
      <c r="AB73" s="80"/>
      <c r="AC73" s="83" t="s">
        <v>789</v>
      </c>
      <c r="AD73" s="80"/>
      <c r="AE73" s="80" t="b">
        <v>0</v>
      </c>
      <c r="AF73" s="80">
        <v>0</v>
      </c>
      <c r="AG73" s="83" t="s">
        <v>952</v>
      </c>
      <c r="AH73" s="80" t="b">
        <v>0</v>
      </c>
      <c r="AI73" s="80" t="s">
        <v>967</v>
      </c>
      <c r="AJ73" s="80"/>
      <c r="AK73" s="83" t="s">
        <v>952</v>
      </c>
      <c r="AL73" s="80" t="b">
        <v>0</v>
      </c>
      <c r="AM73" s="80">
        <v>5</v>
      </c>
      <c r="AN73" s="83" t="s">
        <v>788</v>
      </c>
      <c r="AO73" s="83" t="s">
        <v>979</v>
      </c>
      <c r="AP73" s="80" t="b">
        <v>0</v>
      </c>
      <c r="AQ73" s="83" t="s">
        <v>788</v>
      </c>
      <c r="AR73" s="80" t="s">
        <v>196</v>
      </c>
      <c r="AS73" s="80">
        <v>0</v>
      </c>
      <c r="AT73" s="80">
        <v>0</v>
      </c>
      <c r="AU73" s="80"/>
      <c r="AV73" s="80"/>
      <c r="AW73" s="80"/>
      <c r="AX73" s="80"/>
      <c r="AY73" s="80"/>
      <c r="AZ73" s="80"/>
      <c r="BA73" s="80"/>
      <c r="BB73" s="80"/>
      <c r="BC73">
        <v>1</v>
      </c>
      <c r="BD73" s="79" t="str">
        <f>REPLACE(INDEX(GroupVertices[Group],MATCH(Edges[[#This Row],[Vertex 1]],GroupVertices[Vertex],0)),1,1,"")</f>
        <v>24</v>
      </c>
      <c r="BE73" s="79" t="str">
        <f>REPLACE(INDEX(GroupVertices[Group],MATCH(Edges[[#This Row],[Vertex 2]],GroupVertices[Vertex],0)),1,1,"")</f>
        <v>24</v>
      </c>
      <c r="BF73" s="49">
        <v>0</v>
      </c>
      <c r="BG73" s="50">
        <v>0</v>
      </c>
      <c r="BH73" s="49">
        <v>0</v>
      </c>
      <c r="BI73" s="50">
        <v>0</v>
      </c>
      <c r="BJ73" s="49">
        <v>0</v>
      </c>
      <c r="BK73" s="50">
        <v>0</v>
      </c>
      <c r="BL73" s="49">
        <v>4</v>
      </c>
      <c r="BM73" s="50">
        <v>100</v>
      </c>
      <c r="BN73" s="49">
        <v>4</v>
      </c>
    </row>
    <row r="74" spans="1:66" ht="15">
      <c r="A74" s="65" t="s">
        <v>271</v>
      </c>
      <c r="B74" s="65" t="s">
        <v>271</v>
      </c>
      <c r="C74" s="66" t="s">
        <v>2815</v>
      </c>
      <c r="D74" s="67">
        <v>3</v>
      </c>
      <c r="E74" s="66" t="s">
        <v>132</v>
      </c>
      <c r="F74" s="69">
        <v>32</v>
      </c>
      <c r="G74" s="66"/>
      <c r="H74" s="70"/>
      <c r="I74" s="71"/>
      <c r="J74" s="71"/>
      <c r="K74" s="35" t="s">
        <v>65</v>
      </c>
      <c r="L74" s="72">
        <v>74</v>
      </c>
      <c r="M74" s="72"/>
      <c r="N74" s="73"/>
      <c r="O74" s="80" t="s">
        <v>196</v>
      </c>
      <c r="P74" s="82">
        <v>44476.495046296295</v>
      </c>
      <c r="Q74" s="80" t="s">
        <v>435</v>
      </c>
      <c r="R74" s="85" t="str">
        <f>HYPERLINK("https://twitter.com/gregory_chupa/status/1446080921363492868")</f>
        <v>https://twitter.com/gregory_chupa/status/1446080921363492868</v>
      </c>
      <c r="S74" s="80" t="s">
        <v>531</v>
      </c>
      <c r="T74" s="80"/>
      <c r="U74" s="80"/>
      <c r="V74" s="85" t="str">
        <f>HYPERLINK("https://pbs.twimg.com/profile_images/1188859816099373056/op_8mGKQ_normal.jpg")</f>
        <v>https://pbs.twimg.com/profile_images/1188859816099373056/op_8mGKQ_normal.jpg</v>
      </c>
      <c r="W74" s="82">
        <v>44476.495046296295</v>
      </c>
      <c r="X74" s="87">
        <v>44476</v>
      </c>
      <c r="Y74" s="83" t="s">
        <v>607</v>
      </c>
      <c r="Z74" s="85" t="str">
        <f>HYPERLINK("https://twitter.com/gregory_chupa/status/1446081087604760582")</f>
        <v>https://twitter.com/gregory_chupa/status/1446081087604760582</v>
      </c>
      <c r="AA74" s="80"/>
      <c r="AB74" s="80"/>
      <c r="AC74" s="83" t="s">
        <v>790</v>
      </c>
      <c r="AD74" s="80"/>
      <c r="AE74" s="80" t="b">
        <v>0</v>
      </c>
      <c r="AF74" s="80">
        <v>0</v>
      </c>
      <c r="AG74" s="83" t="s">
        <v>952</v>
      </c>
      <c r="AH74" s="80" t="b">
        <v>1</v>
      </c>
      <c r="AI74" s="80" t="s">
        <v>967</v>
      </c>
      <c r="AJ74" s="80"/>
      <c r="AK74" s="83" t="s">
        <v>971</v>
      </c>
      <c r="AL74" s="80" t="b">
        <v>0</v>
      </c>
      <c r="AM74" s="80">
        <v>0</v>
      </c>
      <c r="AN74" s="83" t="s">
        <v>952</v>
      </c>
      <c r="AO74" s="83" t="s">
        <v>972</v>
      </c>
      <c r="AP74" s="80" t="b">
        <v>0</v>
      </c>
      <c r="AQ74" s="83" t="s">
        <v>790</v>
      </c>
      <c r="AR74" s="80" t="s">
        <v>196</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9">
        <v>1</v>
      </c>
      <c r="BG74" s="50">
        <v>1.6666666666666667</v>
      </c>
      <c r="BH74" s="49">
        <v>1</v>
      </c>
      <c r="BI74" s="50">
        <v>1.6666666666666667</v>
      </c>
      <c r="BJ74" s="49">
        <v>0</v>
      </c>
      <c r="BK74" s="50">
        <v>0</v>
      </c>
      <c r="BL74" s="49">
        <v>58</v>
      </c>
      <c r="BM74" s="50">
        <v>96.66666666666667</v>
      </c>
      <c r="BN74" s="49">
        <v>60</v>
      </c>
    </row>
    <row r="75" spans="1:66" ht="15">
      <c r="A75" s="65" t="s">
        <v>272</v>
      </c>
      <c r="B75" s="65" t="s">
        <v>377</v>
      </c>
      <c r="C75" s="66" t="s">
        <v>2815</v>
      </c>
      <c r="D75" s="67">
        <v>3</v>
      </c>
      <c r="E75" s="66" t="s">
        <v>132</v>
      </c>
      <c r="F75" s="69">
        <v>32</v>
      </c>
      <c r="G75" s="66"/>
      <c r="H75" s="70"/>
      <c r="I75" s="71"/>
      <c r="J75" s="71"/>
      <c r="K75" s="35" t="s">
        <v>65</v>
      </c>
      <c r="L75" s="72">
        <v>75</v>
      </c>
      <c r="M75" s="72"/>
      <c r="N75" s="73"/>
      <c r="O75" s="80" t="s">
        <v>407</v>
      </c>
      <c r="P75" s="82">
        <v>44476.543171296296</v>
      </c>
      <c r="Q75" s="80" t="s">
        <v>432</v>
      </c>
      <c r="R75" s="85" t="str">
        <f>HYPERLINK("https://econ.trib.al/UuLdSAj")</f>
        <v>https://econ.trib.al/UuLdSAj</v>
      </c>
      <c r="S75" s="80" t="s">
        <v>528</v>
      </c>
      <c r="T75" s="80"/>
      <c r="U75" s="80"/>
      <c r="V75" s="85" t="str">
        <f>HYPERLINK("https://pbs.twimg.com/profile_images/945159517150388224/xvUeEWtp_normal.jpg")</f>
        <v>https://pbs.twimg.com/profile_images/945159517150388224/xvUeEWtp_normal.jpg</v>
      </c>
      <c r="W75" s="82">
        <v>44476.543171296296</v>
      </c>
      <c r="X75" s="87">
        <v>44476</v>
      </c>
      <c r="Y75" s="83" t="s">
        <v>608</v>
      </c>
      <c r="Z75" s="85" t="str">
        <f>HYPERLINK("https://twitter.com/glorydey1/status/1446098525331230723")</f>
        <v>https://twitter.com/glorydey1/status/1446098525331230723</v>
      </c>
      <c r="AA75" s="80"/>
      <c r="AB75" s="80"/>
      <c r="AC75" s="83" t="s">
        <v>791</v>
      </c>
      <c r="AD75" s="80"/>
      <c r="AE75" s="80" t="b">
        <v>0</v>
      </c>
      <c r="AF75" s="80">
        <v>0</v>
      </c>
      <c r="AG75" s="83" t="s">
        <v>952</v>
      </c>
      <c r="AH75" s="80" t="b">
        <v>0</v>
      </c>
      <c r="AI75" s="80" t="s">
        <v>967</v>
      </c>
      <c r="AJ75" s="80"/>
      <c r="AK75" s="83" t="s">
        <v>952</v>
      </c>
      <c r="AL75" s="80" t="b">
        <v>0</v>
      </c>
      <c r="AM75" s="80">
        <v>11</v>
      </c>
      <c r="AN75" s="83" t="s">
        <v>894</v>
      </c>
      <c r="AO75" s="83" t="s">
        <v>979</v>
      </c>
      <c r="AP75" s="80" t="b">
        <v>0</v>
      </c>
      <c r="AQ75" s="83" t="s">
        <v>894</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272</v>
      </c>
      <c r="B76" s="65" t="s">
        <v>331</v>
      </c>
      <c r="C76" s="66" t="s">
        <v>2815</v>
      </c>
      <c r="D76" s="67">
        <v>3</v>
      </c>
      <c r="E76" s="66" t="s">
        <v>132</v>
      </c>
      <c r="F76" s="69">
        <v>32</v>
      </c>
      <c r="G76" s="66"/>
      <c r="H76" s="70"/>
      <c r="I76" s="71"/>
      <c r="J76" s="71"/>
      <c r="K76" s="35" t="s">
        <v>65</v>
      </c>
      <c r="L76" s="72">
        <v>76</v>
      </c>
      <c r="M76" s="72"/>
      <c r="N76" s="73"/>
      <c r="O76" s="80" t="s">
        <v>407</v>
      </c>
      <c r="P76" s="82">
        <v>44476.543171296296</v>
      </c>
      <c r="Q76" s="80" t="s">
        <v>432</v>
      </c>
      <c r="R76" s="85" t="str">
        <f>HYPERLINK("https://econ.trib.al/UuLdSAj")</f>
        <v>https://econ.trib.al/UuLdSAj</v>
      </c>
      <c r="S76" s="80" t="s">
        <v>528</v>
      </c>
      <c r="T76" s="80"/>
      <c r="U76" s="80"/>
      <c r="V76" s="85" t="str">
        <f>HYPERLINK("https://pbs.twimg.com/profile_images/945159517150388224/xvUeEWtp_normal.jpg")</f>
        <v>https://pbs.twimg.com/profile_images/945159517150388224/xvUeEWtp_normal.jpg</v>
      </c>
      <c r="W76" s="82">
        <v>44476.543171296296</v>
      </c>
      <c r="X76" s="87">
        <v>44476</v>
      </c>
      <c r="Y76" s="83" t="s">
        <v>608</v>
      </c>
      <c r="Z76" s="85" t="str">
        <f>HYPERLINK("https://twitter.com/glorydey1/status/1446098525331230723")</f>
        <v>https://twitter.com/glorydey1/status/1446098525331230723</v>
      </c>
      <c r="AA76" s="80"/>
      <c r="AB76" s="80"/>
      <c r="AC76" s="83" t="s">
        <v>791</v>
      </c>
      <c r="AD76" s="80"/>
      <c r="AE76" s="80" t="b">
        <v>0</v>
      </c>
      <c r="AF76" s="80">
        <v>0</v>
      </c>
      <c r="AG76" s="83" t="s">
        <v>952</v>
      </c>
      <c r="AH76" s="80" t="b">
        <v>0</v>
      </c>
      <c r="AI76" s="80" t="s">
        <v>967</v>
      </c>
      <c r="AJ76" s="80"/>
      <c r="AK76" s="83" t="s">
        <v>952</v>
      </c>
      <c r="AL76" s="80" t="b">
        <v>0</v>
      </c>
      <c r="AM76" s="80">
        <v>11</v>
      </c>
      <c r="AN76" s="83" t="s">
        <v>894</v>
      </c>
      <c r="AO76" s="83" t="s">
        <v>979</v>
      </c>
      <c r="AP76" s="80" t="b">
        <v>0</v>
      </c>
      <c r="AQ76" s="83" t="s">
        <v>894</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272</v>
      </c>
      <c r="B77" s="65" t="s">
        <v>378</v>
      </c>
      <c r="C77" s="66" t="s">
        <v>2815</v>
      </c>
      <c r="D77" s="67">
        <v>3</v>
      </c>
      <c r="E77" s="66" t="s">
        <v>132</v>
      </c>
      <c r="F77" s="69">
        <v>32</v>
      </c>
      <c r="G77" s="66"/>
      <c r="H77" s="70"/>
      <c r="I77" s="71"/>
      <c r="J77" s="71"/>
      <c r="K77" s="35" t="s">
        <v>65</v>
      </c>
      <c r="L77" s="72">
        <v>77</v>
      </c>
      <c r="M77" s="72"/>
      <c r="N77" s="73"/>
      <c r="O77" s="80" t="s">
        <v>407</v>
      </c>
      <c r="P77" s="82">
        <v>44476.543171296296</v>
      </c>
      <c r="Q77" s="80" t="s">
        <v>432</v>
      </c>
      <c r="R77" s="85" t="str">
        <f>HYPERLINK("https://econ.trib.al/UuLdSAj")</f>
        <v>https://econ.trib.al/UuLdSAj</v>
      </c>
      <c r="S77" s="80" t="s">
        <v>528</v>
      </c>
      <c r="T77" s="80"/>
      <c r="U77" s="80"/>
      <c r="V77" s="85" t="str">
        <f>HYPERLINK("https://pbs.twimg.com/profile_images/945159517150388224/xvUeEWtp_normal.jpg")</f>
        <v>https://pbs.twimg.com/profile_images/945159517150388224/xvUeEWtp_normal.jpg</v>
      </c>
      <c r="W77" s="82">
        <v>44476.543171296296</v>
      </c>
      <c r="X77" s="87">
        <v>44476</v>
      </c>
      <c r="Y77" s="83" t="s">
        <v>608</v>
      </c>
      <c r="Z77" s="85" t="str">
        <f>HYPERLINK("https://twitter.com/glorydey1/status/1446098525331230723")</f>
        <v>https://twitter.com/glorydey1/status/1446098525331230723</v>
      </c>
      <c r="AA77" s="80"/>
      <c r="AB77" s="80"/>
      <c r="AC77" s="83" t="s">
        <v>791</v>
      </c>
      <c r="AD77" s="80"/>
      <c r="AE77" s="80" t="b">
        <v>0</v>
      </c>
      <c r="AF77" s="80">
        <v>0</v>
      </c>
      <c r="AG77" s="83" t="s">
        <v>952</v>
      </c>
      <c r="AH77" s="80" t="b">
        <v>0</v>
      </c>
      <c r="AI77" s="80" t="s">
        <v>967</v>
      </c>
      <c r="AJ77" s="80"/>
      <c r="AK77" s="83" t="s">
        <v>952</v>
      </c>
      <c r="AL77" s="80" t="b">
        <v>0</v>
      </c>
      <c r="AM77" s="80">
        <v>11</v>
      </c>
      <c r="AN77" s="83" t="s">
        <v>894</v>
      </c>
      <c r="AO77" s="83" t="s">
        <v>979</v>
      </c>
      <c r="AP77" s="80" t="b">
        <v>0</v>
      </c>
      <c r="AQ77" s="83" t="s">
        <v>894</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272</v>
      </c>
      <c r="B78" s="65" t="s">
        <v>342</v>
      </c>
      <c r="C78" s="66" t="s">
        <v>2815</v>
      </c>
      <c r="D78" s="67">
        <v>3</v>
      </c>
      <c r="E78" s="66" t="s">
        <v>132</v>
      </c>
      <c r="F78" s="69">
        <v>32</v>
      </c>
      <c r="G78" s="66"/>
      <c r="H78" s="70"/>
      <c r="I78" s="71"/>
      <c r="J78" s="71"/>
      <c r="K78" s="35" t="s">
        <v>65</v>
      </c>
      <c r="L78" s="72">
        <v>78</v>
      </c>
      <c r="M78" s="72"/>
      <c r="N78" s="73"/>
      <c r="O78" s="80" t="s">
        <v>408</v>
      </c>
      <c r="P78" s="82">
        <v>44476.543171296296</v>
      </c>
      <c r="Q78" s="80" t="s">
        <v>432</v>
      </c>
      <c r="R78" s="85" t="str">
        <f>HYPERLINK("https://econ.trib.al/UuLdSAj")</f>
        <v>https://econ.trib.al/UuLdSAj</v>
      </c>
      <c r="S78" s="80" t="s">
        <v>528</v>
      </c>
      <c r="T78" s="80"/>
      <c r="U78" s="80"/>
      <c r="V78" s="85" t="str">
        <f>HYPERLINK("https://pbs.twimg.com/profile_images/945159517150388224/xvUeEWtp_normal.jpg")</f>
        <v>https://pbs.twimg.com/profile_images/945159517150388224/xvUeEWtp_normal.jpg</v>
      </c>
      <c r="W78" s="82">
        <v>44476.543171296296</v>
      </c>
      <c r="X78" s="87">
        <v>44476</v>
      </c>
      <c r="Y78" s="83" t="s">
        <v>608</v>
      </c>
      <c r="Z78" s="85" t="str">
        <f>HYPERLINK("https://twitter.com/glorydey1/status/1446098525331230723")</f>
        <v>https://twitter.com/glorydey1/status/1446098525331230723</v>
      </c>
      <c r="AA78" s="80"/>
      <c r="AB78" s="80"/>
      <c r="AC78" s="83" t="s">
        <v>791</v>
      </c>
      <c r="AD78" s="80"/>
      <c r="AE78" s="80" t="b">
        <v>0</v>
      </c>
      <c r="AF78" s="80">
        <v>0</v>
      </c>
      <c r="AG78" s="83" t="s">
        <v>952</v>
      </c>
      <c r="AH78" s="80" t="b">
        <v>0</v>
      </c>
      <c r="AI78" s="80" t="s">
        <v>967</v>
      </c>
      <c r="AJ78" s="80"/>
      <c r="AK78" s="83" t="s">
        <v>952</v>
      </c>
      <c r="AL78" s="80" t="b">
        <v>0</v>
      </c>
      <c r="AM78" s="80">
        <v>11</v>
      </c>
      <c r="AN78" s="83" t="s">
        <v>894</v>
      </c>
      <c r="AO78" s="83" t="s">
        <v>979</v>
      </c>
      <c r="AP78" s="80" t="b">
        <v>0</v>
      </c>
      <c r="AQ78" s="83" t="s">
        <v>894</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v>0</v>
      </c>
      <c r="BG78" s="50">
        <v>0</v>
      </c>
      <c r="BH78" s="49">
        <v>0</v>
      </c>
      <c r="BI78" s="50">
        <v>0</v>
      </c>
      <c r="BJ78" s="49">
        <v>0</v>
      </c>
      <c r="BK78" s="50">
        <v>0</v>
      </c>
      <c r="BL78" s="49">
        <v>34</v>
      </c>
      <c r="BM78" s="50">
        <v>100</v>
      </c>
      <c r="BN78" s="49">
        <v>34</v>
      </c>
    </row>
    <row r="79" spans="1:66" ht="15">
      <c r="A79" s="65" t="s">
        <v>273</v>
      </c>
      <c r="B79" s="65" t="s">
        <v>379</v>
      </c>
      <c r="C79" s="66" t="s">
        <v>2815</v>
      </c>
      <c r="D79" s="67">
        <v>3</v>
      </c>
      <c r="E79" s="66" t="s">
        <v>132</v>
      </c>
      <c r="F79" s="69">
        <v>32</v>
      </c>
      <c r="G79" s="66"/>
      <c r="H79" s="70"/>
      <c r="I79" s="71"/>
      <c r="J79" s="71"/>
      <c r="K79" s="35" t="s">
        <v>65</v>
      </c>
      <c r="L79" s="72">
        <v>79</v>
      </c>
      <c r="M79" s="72"/>
      <c r="N79" s="73"/>
      <c r="O79" s="80" t="s">
        <v>409</v>
      </c>
      <c r="P79" s="82">
        <v>44476.79871527778</v>
      </c>
      <c r="Q79" s="80" t="s">
        <v>436</v>
      </c>
      <c r="R79" s="80"/>
      <c r="S79" s="80"/>
      <c r="T79" s="80"/>
      <c r="U79" s="80"/>
      <c r="V79" s="85" t="str">
        <f>HYPERLINK("https://pbs.twimg.com/profile_images/1428045708771352578/1-ghqROX_normal.jpg")</f>
        <v>https://pbs.twimg.com/profile_images/1428045708771352578/1-ghqROX_normal.jpg</v>
      </c>
      <c r="W79" s="82">
        <v>44476.79871527778</v>
      </c>
      <c r="X79" s="87">
        <v>44476</v>
      </c>
      <c r="Y79" s="83" t="s">
        <v>609</v>
      </c>
      <c r="Z79" s="85" t="str">
        <f>HYPERLINK("https://twitter.com/steve_ia_hill/status/1446191133089046528")</f>
        <v>https://twitter.com/steve_ia_hill/status/1446191133089046528</v>
      </c>
      <c r="AA79" s="80"/>
      <c r="AB79" s="80"/>
      <c r="AC79" s="83" t="s">
        <v>792</v>
      </c>
      <c r="AD79" s="83" t="s">
        <v>940</v>
      </c>
      <c r="AE79" s="80" t="b">
        <v>0</v>
      </c>
      <c r="AF79" s="80">
        <v>3</v>
      </c>
      <c r="AG79" s="83" t="s">
        <v>955</v>
      </c>
      <c r="AH79" s="80" t="b">
        <v>0</v>
      </c>
      <c r="AI79" s="80" t="s">
        <v>967</v>
      </c>
      <c r="AJ79" s="80"/>
      <c r="AK79" s="83" t="s">
        <v>952</v>
      </c>
      <c r="AL79" s="80" t="b">
        <v>0</v>
      </c>
      <c r="AM79" s="80">
        <v>0</v>
      </c>
      <c r="AN79" s="83" t="s">
        <v>952</v>
      </c>
      <c r="AO79" s="83" t="s">
        <v>979</v>
      </c>
      <c r="AP79" s="80" t="b">
        <v>0</v>
      </c>
      <c r="AQ79" s="83" t="s">
        <v>940</v>
      </c>
      <c r="AR79" s="80" t="s">
        <v>196</v>
      </c>
      <c r="AS79" s="80">
        <v>0</v>
      </c>
      <c r="AT79" s="80">
        <v>0</v>
      </c>
      <c r="AU79" s="80"/>
      <c r="AV79" s="80"/>
      <c r="AW79" s="80"/>
      <c r="AX79" s="80"/>
      <c r="AY79" s="80"/>
      <c r="AZ79" s="80"/>
      <c r="BA79" s="80"/>
      <c r="BB79" s="80"/>
      <c r="BC79">
        <v>1</v>
      </c>
      <c r="BD79" s="79" t="str">
        <f>REPLACE(INDEX(GroupVertices[Group],MATCH(Edges[[#This Row],[Vertex 1]],GroupVertices[Vertex],0)),1,1,"")</f>
        <v>23</v>
      </c>
      <c r="BE79" s="79" t="str">
        <f>REPLACE(INDEX(GroupVertices[Group],MATCH(Edges[[#This Row],[Vertex 2]],GroupVertices[Vertex],0)),1,1,"")</f>
        <v>23</v>
      </c>
      <c r="BF79" s="49">
        <v>1</v>
      </c>
      <c r="BG79" s="50">
        <v>1.9230769230769231</v>
      </c>
      <c r="BH79" s="49">
        <v>1</v>
      </c>
      <c r="BI79" s="50">
        <v>1.9230769230769231</v>
      </c>
      <c r="BJ79" s="49">
        <v>0</v>
      </c>
      <c r="BK79" s="50">
        <v>0</v>
      </c>
      <c r="BL79" s="49">
        <v>50</v>
      </c>
      <c r="BM79" s="50">
        <v>96.15384615384616</v>
      </c>
      <c r="BN79" s="49">
        <v>52</v>
      </c>
    </row>
    <row r="80" spans="1:66" ht="15">
      <c r="A80" s="65" t="s">
        <v>274</v>
      </c>
      <c r="B80" s="65" t="s">
        <v>314</v>
      </c>
      <c r="C80" s="66" t="s">
        <v>2815</v>
      </c>
      <c r="D80" s="67">
        <v>3</v>
      </c>
      <c r="E80" s="66" t="s">
        <v>132</v>
      </c>
      <c r="F80" s="69">
        <v>32</v>
      </c>
      <c r="G80" s="66"/>
      <c r="H80" s="70"/>
      <c r="I80" s="71"/>
      <c r="J80" s="71"/>
      <c r="K80" s="35" t="s">
        <v>65</v>
      </c>
      <c r="L80" s="72">
        <v>80</v>
      </c>
      <c r="M80" s="72"/>
      <c r="N80" s="73"/>
      <c r="O80" s="80" t="s">
        <v>408</v>
      </c>
      <c r="P80" s="82">
        <v>44476.902349537035</v>
      </c>
      <c r="Q80" s="80" t="s">
        <v>433</v>
      </c>
      <c r="R80" s="85" t="str">
        <f>HYPERLINK("https://plantbasednews.org/news/australian-company-create-cell-based-meat-from-exotic-animals/")</f>
        <v>https://plantbasednews.org/news/australian-company-create-cell-based-meat-from-exotic-animals/</v>
      </c>
      <c r="S80" s="80" t="s">
        <v>529</v>
      </c>
      <c r="T80" s="80"/>
      <c r="U80" s="80"/>
      <c r="V80" s="85" t="str">
        <f>HYPERLINK("https://pbs.twimg.com/profile_images/1375562084545486848/ToDfVwF6_normal.jpg")</f>
        <v>https://pbs.twimg.com/profile_images/1375562084545486848/ToDfVwF6_normal.jpg</v>
      </c>
      <c r="W80" s="82">
        <v>44476.902349537035</v>
      </c>
      <c r="X80" s="87">
        <v>44476</v>
      </c>
      <c r="Y80" s="83" t="s">
        <v>610</v>
      </c>
      <c r="Z80" s="85" t="str">
        <f>HYPERLINK("https://twitter.com/ozzyconda/status/1446228688152891393")</f>
        <v>https://twitter.com/ozzyconda/status/1446228688152891393</v>
      </c>
      <c r="AA80" s="80"/>
      <c r="AB80" s="80"/>
      <c r="AC80" s="83" t="s">
        <v>793</v>
      </c>
      <c r="AD80" s="80"/>
      <c r="AE80" s="80" t="b">
        <v>0</v>
      </c>
      <c r="AF80" s="80">
        <v>0</v>
      </c>
      <c r="AG80" s="83" t="s">
        <v>952</v>
      </c>
      <c r="AH80" s="80" t="b">
        <v>0</v>
      </c>
      <c r="AI80" s="80" t="s">
        <v>967</v>
      </c>
      <c r="AJ80" s="80"/>
      <c r="AK80" s="83" t="s">
        <v>952</v>
      </c>
      <c r="AL80" s="80" t="b">
        <v>0</v>
      </c>
      <c r="AM80" s="80">
        <v>4</v>
      </c>
      <c r="AN80" s="83" t="s">
        <v>838</v>
      </c>
      <c r="AO80" s="83" t="s">
        <v>972</v>
      </c>
      <c r="AP80" s="80" t="b">
        <v>0</v>
      </c>
      <c r="AQ80" s="83" t="s">
        <v>838</v>
      </c>
      <c r="AR80" s="80" t="s">
        <v>196</v>
      </c>
      <c r="AS80" s="80">
        <v>0</v>
      </c>
      <c r="AT80" s="80">
        <v>0</v>
      </c>
      <c r="AU80" s="80"/>
      <c r="AV80" s="80"/>
      <c r="AW80" s="80"/>
      <c r="AX80" s="80"/>
      <c r="AY80" s="80"/>
      <c r="AZ80" s="80"/>
      <c r="BA80" s="80"/>
      <c r="BB80" s="80"/>
      <c r="BC80">
        <v>1</v>
      </c>
      <c r="BD80" s="79" t="str">
        <f>REPLACE(INDEX(GroupVertices[Group],MATCH(Edges[[#This Row],[Vertex 1]],GroupVertices[Vertex],0)),1,1,"")</f>
        <v>14</v>
      </c>
      <c r="BE80" s="79" t="str">
        <f>REPLACE(INDEX(GroupVertices[Group],MATCH(Edges[[#This Row],[Vertex 2]],GroupVertices[Vertex],0)),1,1,"")</f>
        <v>14</v>
      </c>
      <c r="BF80" s="49">
        <v>1</v>
      </c>
      <c r="BG80" s="50">
        <v>7.142857142857143</v>
      </c>
      <c r="BH80" s="49">
        <v>0</v>
      </c>
      <c r="BI80" s="50">
        <v>0</v>
      </c>
      <c r="BJ80" s="49">
        <v>0</v>
      </c>
      <c r="BK80" s="50">
        <v>0</v>
      </c>
      <c r="BL80" s="49">
        <v>13</v>
      </c>
      <c r="BM80" s="50">
        <v>92.85714285714286</v>
      </c>
      <c r="BN80" s="49">
        <v>14</v>
      </c>
    </row>
    <row r="81" spans="1:66" ht="15">
      <c r="A81" s="65" t="s">
        <v>275</v>
      </c>
      <c r="B81" s="65" t="s">
        <v>275</v>
      </c>
      <c r="C81" s="66" t="s">
        <v>2815</v>
      </c>
      <c r="D81" s="67">
        <v>3</v>
      </c>
      <c r="E81" s="66" t="s">
        <v>132</v>
      </c>
      <c r="F81" s="69">
        <v>32</v>
      </c>
      <c r="G81" s="66"/>
      <c r="H81" s="70"/>
      <c r="I81" s="71"/>
      <c r="J81" s="71"/>
      <c r="K81" s="35" t="s">
        <v>65</v>
      </c>
      <c r="L81" s="72">
        <v>81</v>
      </c>
      <c r="M81" s="72"/>
      <c r="N81" s="73"/>
      <c r="O81" s="80" t="s">
        <v>196</v>
      </c>
      <c r="P81" s="82">
        <v>44476.99025462963</v>
      </c>
      <c r="Q81" s="80" t="s">
        <v>437</v>
      </c>
      <c r="R81" s="85" t="str">
        <f>HYPERLINK("https://newrepublic.com/article/163857/lab-meat-marketing-gmo-foods?utm_source=newsletter&amp;utm_medium=email&amp;utm_campaign=tnr_daily")</f>
        <v>https://newrepublic.com/article/163857/lab-meat-marketing-gmo-foods?utm_source=newsletter&amp;utm_medium=email&amp;utm_campaign=tnr_daily</v>
      </c>
      <c r="S81" s="80" t="s">
        <v>527</v>
      </c>
      <c r="T81" s="80"/>
      <c r="U81" s="80"/>
      <c r="V81" s="85" t="str">
        <f>HYPERLINK("https://pbs.twimg.com/profile_images/691704504539037696/Ul7qHJX5_normal.png")</f>
        <v>https://pbs.twimg.com/profile_images/691704504539037696/Ul7qHJX5_normal.png</v>
      </c>
      <c r="W81" s="82">
        <v>44476.99025462963</v>
      </c>
      <c r="X81" s="87">
        <v>44476</v>
      </c>
      <c r="Y81" s="83" t="s">
        <v>611</v>
      </c>
      <c r="Z81" s="85" t="str">
        <f>HYPERLINK("https://twitter.com/vectorresearch/status/1446260541715013636")</f>
        <v>https://twitter.com/vectorresearch/status/1446260541715013636</v>
      </c>
      <c r="AA81" s="80"/>
      <c r="AB81" s="80"/>
      <c r="AC81" s="83" t="s">
        <v>794</v>
      </c>
      <c r="AD81" s="80"/>
      <c r="AE81" s="80" t="b">
        <v>0</v>
      </c>
      <c r="AF81" s="80">
        <v>1</v>
      </c>
      <c r="AG81" s="83" t="s">
        <v>952</v>
      </c>
      <c r="AH81" s="80" t="b">
        <v>0</v>
      </c>
      <c r="AI81" s="80" t="s">
        <v>967</v>
      </c>
      <c r="AJ81" s="80"/>
      <c r="AK81" s="83" t="s">
        <v>952</v>
      </c>
      <c r="AL81" s="80" t="b">
        <v>0</v>
      </c>
      <c r="AM81" s="80">
        <v>0</v>
      </c>
      <c r="AN81" s="83" t="s">
        <v>952</v>
      </c>
      <c r="AO81" s="83" t="s">
        <v>974</v>
      </c>
      <c r="AP81" s="80" t="b">
        <v>0</v>
      </c>
      <c r="AQ81" s="83" t="s">
        <v>794</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9">
        <v>1</v>
      </c>
      <c r="BG81" s="50">
        <v>7.142857142857143</v>
      </c>
      <c r="BH81" s="49">
        <v>0</v>
      </c>
      <c r="BI81" s="50">
        <v>0</v>
      </c>
      <c r="BJ81" s="49">
        <v>0</v>
      </c>
      <c r="BK81" s="50">
        <v>0</v>
      </c>
      <c r="BL81" s="49">
        <v>13</v>
      </c>
      <c r="BM81" s="50">
        <v>92.85714285714286</v>
      </c>
      <c r="BN81" s="49">
        <v>14</v>
      </c>
    </row>
    <row r="82" spans="1:66" ht="15">
      <c r="A82" s="65" t="s">
        <v>276</v>
      </c>
      <c r="B82" s="65" t="s">
        <v>380</v>
      </c>
      <c r="C82" s="66" t="s">
        <v>2815</v>
      </c>
      <c r="D82" s="67">
        <v>3</v>
      </c>
      <c r="E82" s="66" t="s">
        <v>132</v>
      </c>
      <c r="F82" s="69">
        <v>32</v>
      </c>
      <c r="G82" s="66"/>
      <c r="H82" s="70"/>
      <c r="I82" s="71"/>
      <c r="J82" s="71"/>
      <c r="K82" s="35" t="s">
        <v>65</v>
      </c>
      <c r="L82" s="72">
        <v>82</v>
      </c>
      <c r="M82" s="72"/>
      <c r="N82" s="73"/>
      <c r="O82" s="80" t="s">
        <v>407</v>
      </c>
      <c r="P82" s="82">
        <v>44477.05537037037</v>
      </c>
      <c r="Q82" s="80" t="s">
        <v>438</v>
      </c>
      <c r="R82" s="80"/>
      <c r="S82" s="80"/>
      <c r="T82" s="83" t="s">
        <v>553</v>
      </c>
      <c r="U82" s="85" t="str">
        <f>HYPERLINK("https://pbs.twimg.com/media/FBI7gPFVQAMNirk.jpg")</f>
        <v>https://pbs.twimg.com/media/FBI7gPFVQAMNirk.jpg</v>
      </c>
      <c r="V82" s="85" t="str">
        <f>HYPERLINK("https://pbs.twimg.com/media/FBI7gPFVQAMNirk.jpg")</f>
        <v>https://pbs.twimg.com/media/FBI7gPFVQAMNirk.jpg</v>
      </c>
      <c r="W82" s="82">
        <v>44477.05537037037</v>
      </c>
      <c r="X82" s="87">
        <v>44477</v>
      </c>
      <c r="Y82" s="83" t="s">
        <v>612</v>
      </c>
      <c r="Z82" s="85" t="str">
        <f>HYPERLINK("https://twitter.com/lizmarsfilm/status/1446284139884257280")</f>
        <v>https://twitter.com/lizmarsfilm/status/1446284139884257280</v>
      </c>
      <c r="AA82" s="80"/>
      <c r="AB82" s="80"/>
      <c r="AC82" s="83" t="s">
        <v>795</v>
      </c>
      <c r="AD82" s="80"/>
      <c r="AE82" s="80" t="b">
        <v>0</v>
      </c>
      <c r="AF82" s="80">
        <v>0</v>
      </c>
      <c r="AG82" s="83" t="s">
        <v>952</v>
      </c>
      <c r="AH82" s="80" t="b">
        <v>0</v>
      </c>
      <c r="AI82" s="80" t="s">
        <v>967</v>
      </c>
      <c r="AJ82" s="80"/>
      <c r="AK82" s="83" t="s">
        <v>952</v>
      </c>
      <c r="AL82" s="80" t="b">
        <v>0</v>
      </c>
      <c r="AM82" s="80">
        <v>3</v>
      </c>
      <c r="AN82" s="83" t="s">
        <v>914</v>
      </c>
      <c r="AO82" s="83" t="s">
        <v>976</v>
      </c>
      <c r="AP82" s="80" t="b">
        <v>0</v>
      </c>
      <c r="AQ82" s="83" t="s">
        <v>914</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276</v>
      </c>
      <c r="B83" s="65" t="s">
        <v>381</v>
      </c>
      <c r="C83" s="66" t="s">
        <v>2815</v>
      </c>
      <c r="D83" s="67">
        <v>3</v>
      </c>
      <c r="E83" s="66" t="s">
        <v>132</v>
      </c>
      <c r="F83" s="69">
        <v>32</v>
      </c>
      <c r="G83" s="66"/>
      <c r="H83" s="70"/>
      <c r="I83" s="71"/>
      <c r="J83" s="71"/>
      <c r="K83" s="35" t="s">
        <v>65</v>
      </c>
      <c r="L83" s="72">
        <v>83</v>
      </c>
      <c r="M83" s="72"/>
      <c r="N83" s="73"/>
      <c r="O83" s="80" t="s">
        <v>407</v>
      </c>
      <c r="P83" s="82">
        <v>44477.05537037037</v>
      </c>
      <c r="Q83" s="80" t="s">
        <v>438</v>
      </c>
      <c r="R83" s="80"/>
      <c r="S83" s="80"/>
      <c r="T83" s="83" t="s">
        <v>553</v>
      </c>
      <c r="U83" s="85" t="str">
        <f>HYPERLINK("https://pbs.twimg.com/media/FBI7gPFVQAMNirk.jpg")</f>
        <v>https://pbs.twimg.com/media/FBI7gPFVQAMNirk.jpg</v>
      </c>
      <c r="V83" s="85" t="str">
        <f>HYPERLINK("https://pbs.twimg.com/media/FBI7gPFVQAMNirk.jpg")</f>
        <v>https://pbs.twimg.com/media/FBI7gPFVQAMNirk.jpg</v>
      </c>
      <c r="W83" s="82">
        <v>44477.05537037037</v>
      </c>
      <c r="X83" s="87">
        <v>44477</v>
      </c>
      <c r="Y83" s="83" t="s">
        <v>612</v>
      </c>
      <c r="Z83" s="85" t="str">
        <f>HYPERLINK("https://twitter.com/lizmarsfilm/status/1446284139884257280")</f>
        <v>https://twitter.com/lizmarsfilm/status/1446284139884257280</v>
      </c>
      <c r="AA83" s="80"/>
      <c r="AB83" s="80"/>
      <c r="AC83" s="83" t="s">
        <v>795</v>
      </c>
      <c r="AD83" s="80"/>
      <c r="AE83" s="80" t="b">
        <v>0</v>
      </c>
      <c r="AF83" s="80">
        <v>0</v>
      </c>
      <c r="AG83" s="83" t="s">
        <v>952</v>
      </c>
      <c r="AH83" s="80" t="b">
        <v>0</v>
      </c>
      <c r="AI83" s="80" t="s">
        <v>967</v>
      </c>
      <c r="AJ83" s="80"/>
      <c r="AK83" s="83" t="s">
        <v>952</v>
      </c>
      <c r="AL83" s="80" t="b">
        <v>0</v>
      </c>
      <c r="AM83" s="80">
        <v>3</v>
      </c>
      <c r="AN83" s="83" t="s">
        <v>914</v>
      </c>
      <c r="AO83" s="83" t="s">
        <v>976</v>
      </c>
      <c r="AP83" s="80" t="b">
        <v>0</v>
      </c>
      <c r="AQ83" s="83" t="s">
        <v>914</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276</v>
      </c>
      <c r="B84" s="65" t="s">
        <v>350</v>
      </c>
      <c r="C84" s="66" t="s">
        <v>2815</v>
      </c>
      <c r="D84" s="67">
        <v>3</v>
      </c>
      <c r="E84" s="66" t="s">
        <v>132</v>
      </c>
      <c r="F84" s="69">
        <v>32</v>
      </c>
      <c r="G84" s="66"/>
      <c r="H84" s="70"/>
      <c r="I84" s="71"/>
      <c r="J84" s="71"/>
      <c r="K84" s="35" t="s">
        <v>65</v>
      </c>
      <c r="L84" s="72">
        <v>84</v>
      </c>
      <c r="M84" s="72"/>
      <c r="N84" s="73"/>
      <c r="O84" s="80" t="s">
        <v>408</v>
      </c>
      <c r="P84" s="82">
        <v>44477.05537037037</v>
      </c>
      <c r="Q84" s="80" t="s">
        <v>438</v>
      </c>
      <c r="R84" s="80"/>
      <c r="S84" s="80"/>
      <c r="T84" s="83" t="s">
        <v>553</v>
      </c>
      <c r="U84" s="85" t="str">
        <f>HYPERLINK("https://pbs.twimg.com/media/FBI7gPFVQAMNirk.jpg")</f>
        <v>https://pbs.twimg.com/media/FBI7gPFVQAMNirk.jpg</v>
      </c>
      <c r="V84" s="85" t="str">
        <f>HYPERLINK("https://pbs.twimg.com/media/FBI7gPFVQAMNirk.jpg")</f>
        <v>https://pbs.twimg.com/media/FBI7gPFVQAMNirk.jpg</v>
      </c>
      <c r="W84" s="82">
        <v>44477.05537037037</v>
      </c>
      <c r="X84" s="87">
        <v>44477</v>
      </c>
      <c r="Y84" s="83" t="s">
        <v>612</v>
      </c>
      <c r="Z84" s="85" t="str">
        <f>HYPERLINK("https://twitter.com/lizmarsfilm/status/1446284139884257280")</f>
        <v>https://twitter.com/lizmarsfilm/status/1446284139884257280</v>
      </c>
      <c r="AA84" s="80"/>
      <c r="AB84" s="80"/>
      <c r="AC84" s="83" t="s">
        <v>795</v>
      </c>
      <c r="AD84" s="80"/>
      <c r="AE84" s="80" t="b">
        <v>0</v>
      </c>
      <c r="AF84" s="80">
        <v>0</v>
      </c>
      <c r="AG84" s="83" t="s">
        <v>952</v>
      </c>
      <c r="AH84" s="80" t="b">
        <v>0</v>
      </c>
      <c r="AI84" s="80" t="s">
        <v>967</v>
      </c>
      <c r="AJ84" s="80"/>
      <c r="AK84" s="83" t="s">
        <v>952</v>
      </c>
      <c r="AL84" s="80" t="b">
        <v>0</v>
      </c>
      <c r="AM84" s="80">
        <v>3</v>
      </c>
      <c r="AN84" s="83" t="s">
        <v>914</v>
      </c>
      <c r="AO84" s="83" t="s">
        <v>976</v>
      </c>
      <c r="AP84" s="80" t="b">
        <v>0</v>
      </c>
      <c r="AQ84" s="83" t="s">
        <v>914</v>
      </c>
      <c r="AR84" s="80" t="s">
        <v>196</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49">
        <v>3</v>
      </c>
      <c r="BG84" s="50">
        <v>7.894736842105263</v>
      </c>
      <c r="BH84" s="49">
        <v>0</v>
      </c>
      <c r="BI84" s="50">
        <v>0</v>
      </c>
      <c r="BJ84" s="49">
        <v>0</v>
      </c>
      <c r="BK84" s="50">
        <v>0</v>
      </c>
      <c r="BL84" s="49">
        <v>35</v>
      </c>
      <c r="BM84" s="50">
        <v>92.10526315789474</v>
      </c>
      <c r="BN84" s="49">
        <v>38</v>
      </c>
    </row>
    <row r="85" spans="1:66" ht="15">
      <c r="A85" s="65" t="s">
        <v>277</v>
      </c>
      <c r="B85" s="65" t="s">
        <v>277</v>
      </c>
      <c r="C85" s="66" t="s">
        <v>2815</v>
      </c>
      <c r="D85" s="67">
        <v>3</v>
      </c>
      <c r="E85" s="66" t="s">
        <v>132</v>
      </c>
      <c r="F85" s="69">
        <v>32</v>
      </c>
      <c r="G85" s="66"/>
      <c r="H85" s="70"/>
      <c r="I85" s="71"/>
      <c r="J85" s="71"/>
      <c r="K85" s="35" t="s">
        <v>65</v>
      </c>
      <c r="L85" s="72">
        <v>85</v>
      </c>
      <c r="M85" s="72"/>
      <c r="N85" s="73"/>
      <c r="O85" s="80" t="s">
        <v>196</v>
      </c>
      <c r="P85" s="82">
        <v>44477.167708333334</v>
      </c>
      <c r="Q85" s="80" t="s">
        <v>439</v>
      </c>
      <c r="R85" s="85" t="str">
        <f>HYPERLINK("https://www.fooddive.com/news/75-of-cell-based-meat-companies-prefer-the-term-cultivated-for-their-pro/607500/")</f>
        <v>https://www.fooddive.com/news/75-of-cell-based-meat-companies-prefer-the-term-cultivated-for-their-pro/607500/</v>
      </c>
      <c r="S85" s="80" t="s">
        <v>514</v>
      </c>
      <c r="T85" s="80"/>
      <c r="U85" s="80"/>
      <c r="V85" s="85" t="str">
        <f>HYPERLINK("https://pbs.twimg.com/profile_images/1401004206392180740/HImihjlV_normal.jpg")</f>
        <v>https://pbs.twimg.com/profile_images/1401004206392180740/HImihjlV_normal.jpg</v>
      </c>
      <c r="W85" s="82">
        <v>44477.167708333334</v>
      </c>
      <c r="X85" s="87">
        <v>44477</v>
      </c>
      <c r="Y85" s="83" t="s">
        <v>613</v>
      </c>
      <c r="Z85" s="85" t="str">
        <f>HYPERLINK("https://twitter.com/toshichimura/status/1446324849043918852")</f>
        <v>https://twitter.com/toshichimura/status/1446324849043918852</v>
      </c>
      <c r="AA85" s="80"/>
      <c r="AB85" s="80"/>
      <c r="AC85" s="83" t="s">
        <v>796</v>
      </c>
      <c r="AD85" s="80"/>
      <c r="AE85" s="80" t="b">
        <v>0</v>
      </c>
      <c r="AF85" s="80">
        <v>1</v>
      </c>
      <c r="AG85" s="83" t="s">
        <v>952</v>
      </c>
      <c r="AH85" s="80" t="b">
        <v>0</v>
      </c>
      <c r="AI85" s="80" t="s">
        <v>970</v>
      </c>
      <c r="AJ85" s="80"/>
      <c r="AK85" s="83" t="s">
        <v>952</v>
      </c>
      <c r="AL85" s="80" t="b">
        <v>0</v>
      </c>
      <c r="AM85" s="80">
        <v>0</v>
      </c>
      <c r="AN85" s="83" t="s">
        <v>952</v>
      </c>
      <c r="AO85" s="83" t="s">
        <v>976</v>
      </c>
      <c r="AP85" s="80" t="b">
        <v>0</v>
      </c>
      <c r="AQ85" s="83" t="s">
        <v>796</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9">
        <v>0</v>
      </c>
      <c r="BG85" s="50">
        <v>0</v>
      </c>
      <c r="BH85" s="49">
        <v>0</v>
      </c>
      <c r="BI85" s="50">
        <v>0</v>
      </c>
      <c r="BJ85" s="49">
        <v>0</v>
      </c>
      <c r="BK85" s="50">
        <v>0</v>
      </c>
      <c r="BL85" s="49">
        <v>7</v>
      </c>
      <c r="BM85" s="50">
        <v>100</v>
      </c>
      <c r="BN85" s="49">
        <v>7</v>
      </c>
    </row>
    <row r="86" spans="1:66" ht="15">
      <c r="A86" s="65" t="s">
        <v>278</v>
      </c>
      <c r="B86" s="65" t="s">
        <v>278</v>
      </c>
      <c r="C86" s="66" t="s">
        <v>2815</v>
      </c>
      <c r="D86" s="67">
        <v>3</v>
      </c>
      <c r="E86" s="66" t="s">
        <v>132</v>
      </c>
      <c r="F86" s="69">
        <v>32</v>
      </c>
      <c r="G86" s="66"/>
      <c r="H86" s="70"/>
      <c r="I86" s="71"/>
      <c r="J86" s="71"/>
      <c r="K86" s="35" t="s">
        <v>65</v>
      </c>
      <c r="L86" s="72">
        <v>86</v>
      </c>
      <c r="M86" s="72"/>
      <c r="N86" s="73"/>
      <c r="O86" s="80" t="s">
        <v>196</v>
      </c>
      <c r="P86" s="82">
        <v>44477.560636574075</v>
      </c>
      <c r="Q86" s="80" t="s">
        <v>440</v>
      </c>
      <c r="R86" s="80"/>
      <c r="S86" s="80"/>
      <c r="T86" s="80"/>
      <c r="U86" s="80"/>
      <c r="V86" s="85" t="str">
        <f>HYPERLINK("https://pbs.twimg.com/profile_images/1443976422989733899/L7-zgxUA_normal.jpg")</f>
        <v>https://pbs.twimg.com/profile_images/1443976422989733899/L7-zgxUA_normal.jpg</v>
      </c>
      <c r="W86" s="82">
        <v>44477.560636574075</v>
      </c>
      <c r="X86" s="87">
        <v>44477</v>
      </c>
      <c r="Y86" s="83" t="s">
        <v>614</v>
      </c>
      <c r="Z86" s="85" t="str">
        <f>HYPERLINK("https://twitter.com/audreyeseybold/status/1446467243576004632")</f>
        <v>https://twitter.com/audreyeseybold/status/1446467243576004632</v>
      </c>
      <c r="AA86" s="80"/>
      <c r="AB86" s="80"/>
      <c r="AC86" s="83" t="s">
        <v>797</v>
      </c>
      <c r="AD86" s="80"/>
      <c r="AE86" s="80" t="b">
        <v>0</v>
      </c>
      <c r="AF86" s="80">
        <v>2</v>
      </c>
      <c r="AG86" s="83" t="s">
        <v>952</v>
      </c>
      <c r="AH86" s="80" t="b">
        <v>0</v>
      </c>
      <c r="AI86" s="80" t="s">
        <v>967</v>
      </c>
      <c r="AJ86" s="80"/>
      <c r="AK86" s="83" t="s">
        <v>952</v>
      </c>
      <c r="AL86" s="80" t="b">
        <v>0</v>
      </c>
      <c r="AM86" s="80">
        <v>0</v>
      </c>
      <c r="AN86" s="83" t="s">
        <v>952</v>
      </c>
      <c r="AO86" s="83" t="s">
        <v>976</v>
      </c>
      <c r="AP86" s="80" t="b">
        <v>0</v>
      </c>
      <c r="AQ86" s="83" t="s">
        <v>797</v>
      </c>
      <c r="AR86" s="80" t="s">
        <v>196</v>
      </c>
      <c r="AS86" s="80">
        <v>0</v>
      </c>
      <c r="AT86" s="80">
        <v>0</v>
      </c>
      <c r="AU86" s="80"/>
      <c r="AV86" s="80"/>
      <c r="AW86" s="80"/>
      <c r="AX86" s="80"/>
      <c r="AY86" s="80"/>
      <c r="AZ86" s="80"/>
      <c r="BA86" s="80"/>
      <c r="BB86" s="80"/>
      <c r="BC86">
        <v>1</v>
      </c>
      <c r="BD86" s="79" t="str">
        <f>REPLACE(INDEX(GroupVertices[Group],MATCH(Edges[[#This Row],[Vertex 1]],GroupVertices[Vertex],0)),1,1,"")</f>
        <v>22</v>
      </c>
      <c r="BE86" s="79" t="str">
        <f>REPLACE(INDEX(GroupVertices[Group],MATCH(Edges[[#This Row],[Vertex 2]],GroupVertices[Vertex],0)),1,1,"")</f>
        <v>22</v>
      </c>
      <c r="BF86" s="49">
        <v>0</v>
      </c>
      <c r="BG86" s="50">
        <v>0</v>
      </c>
      <c r="BH86" s="49">
        <v>0</v>
      </c>
      <c r="BI86" s="50">
        <v>0</v>
      </c>
      <c r="BJ86" s="49">
        <v>0</v>
      </c>
      <c r="BK86" s="50">
        <v>0</v>
      </c>
      <c r="BL86" s="49">
        <v>8</v>
      </c>
      <c r="BM86" s="50">
        <v>100</v>
      </c>
      <c r="BN86" s="49">
        <v>8</v>
      </c>
    </row>
    <row r="87" spans="1:66" ht="15">
      <c r="A87" s="65" t="s">
        <v>279</v>
      </c>
      <c r="B87" s="65" t="s">
        <v>278</v>
      </c>
      <c r="C87" s="66" t="s">
        <v>2815</v>
      </c>
      <c r="D87" s="67">
        <v>3</v>
      </c>
      <c r="E87" s="66" t="s">
        <v>132</v>
      </c>
      <c r="F87" s="69">
        <v>32</v>
      </c>
      <c r="G87" s="66"/>
      <c r="H87" s="70"/>
      <c r="I87" s="71"/>
      <c r="J87" s="71"/>
      <c r="K87" s="35" t="s">
        <v>65</v>
      </c>
      <c r="L87" s="72">
        <v>87</v>
      </c>
      <c r="M87" s="72"/>
      <c r="N87" s="73"/>
      <c r="O87" s="80" t="s">
        <v>409</v>
      </c>
      <c r="P87" s="82">
        <v>44477.565613425926</v>
      </c>
      <c r="Q87" s="80" t="s">
        <v>441</v>
      </c>
      <c r="R87" s="80"/>
      <c r="S87" s="80"/>
      <c r="T87" s="80"/>
      <c r="U87" s="80"/>
      <c r="V87" s="85" t="str">
        <f>HYPERLINK("https://pbs.twimg.com/profile_images/1134386459723608065/k4oaCqnW_normal.jpg")</f>
        <v>https://pbs.twimg.com/profile_images/1134386459723608065/k4oaCqnW_normal.jpg</v>
      </c>
      <c r="W87" s="82">
        <v>44477.565613425926</v>
      </c>
      <c r="X87" s="87">
        <v>44477</v>
      </c>
      <c r="Y87" s="83" t="s">
        <v>615</v>
      </c>
      <c r="Z87" s="85" t="str">
        <f>HYPERLINK("https://twitter.com/jantjieskyle/status/1446469046157840403")</f>
        <v>https://twitter.com/jantjieskyle/status/1446469046157840403</v>
      </c>
      <c r="AA87" s="80"/>
      <c r="AB87" s="80"/>
      <c r="AC87" s="83" t="s">
        <v>798</v>
      </c>
      <c r="AD87" s="83" t="s">
        <v>797</v>
      </c>
      <c r="AE87" s="80" t="b">
        <v>0</v>
      </c>
      <c r="AF87" s="80">
        <v>0</v>
      </c>
      <c r="AG87" s="83" t="s">
        <v>956</v>
      </c>
      <c r="AH87" s="80" t="b">
        <v>0</v>
      </c>
      <c r="AI87" s="80" t="s">
        <v>967</v>
      </c>
      <c r="AJ87" s="80"/>
      <c r="AK87" s="83" t="s">
        <v>952</v>
      </c>
      <c r="AL87" s="80" t="b">
        <v>0</v>
      </c>
      <c r="AM87" s="80">
        <v>0</v>
      </c>
      <c r="AN87" s="83" t="s">
        <v>952</v>
      </c>
      <c r="AO87" s="83" t="s">
        <v>979</v>
      </c>
      <c r="AP87" s="80" t="b">
        <v>0</v>
      </c>
      <c r="AQ87" s="83" t="s">
        <v>797</v>
      </c>
      <c r="AR87" s="80" t="s">
        <v>196</v>
      </c>
      <c r="AS87" s="80">
        <v>0</v>
      </c>
      <c r="AT87" s="80">
        <v>0</v>
      </c>
      <c r="AU87" s="80"/>
      <c r="AV87" s="80"/>
      <c r="AW87" s="80"/>
      <c r="AX87" s="80"/>
      <c r="AY87" s="80"/>
      <c r="AZ87" s="80"/>
      <c r="BA87" s="80"/>
      <c r="BB87" s="80"/>
      <c r="BC87">
        <v>1</v>
      </c>
      <c r="BD87" s="79" t="str">
        <f>REPLACE(INDEX(GroupVertices[Group],MATCH(Edges[[#This Row],[Vertex 1]],GroupVertices[Vertex],0)),1,1,"")</f>
        <v>22</v>
      </c>
      <c r="BE87" s="79" t="str">
        <f>REPLACE(INDEX(GroupVertices[Group],MATCH(Edges[[#This Row],[Vertex 2]],GroupVertices[Vertex],0)),1,1,"")</f>
        <v>22</v>
      </c>
      <c r="BF87" s="49">
        <v>0</v>
      </c>
      <c r="BG87" s="50">
        <v>0</v>
      </c>
      <c r="BH87" s="49">
        <v>0</v>
      </c>
      <c r="BI87" s="50">
        <v>0</v>
      </c>
      <c r="BJ87" s="49">
        <v>0</v>
      </c>
      <c r="BK87" s="50">
        <v>0</v>
      </c>
      <c r="BL87" s="49">
        <v>9</v>
      </c>
      <c r="BM87" s="50">
        <v>100</v>
      </c>
      <c r="BN87" s="49">
        <v>9</v>
      </c>
    </row>
    <row r="88" spans="1:66" ht="15">
      <c r="A88" s="65" t="s">
        <v>280</v>
      </c>
      <c r="B88" s="65" t="s">
        <v>382</v>
      </c>
      <c r="C88" s="66" t="s">
        <v>2815</v>
      </c>
      <c r="D88" s="67">
        <v>3</v>
      </c>
      <c r="E88" s="66" t="s">
        <v>132</v>
      </c>
      <c r="F88" s="69">
        <v>32</v>
      </c>
      <c r="G88" s="66"/>
      <c r="H88" s="70"/>
      <c r="I88" s="71"/>
      <c r="J88" s="71"/>
      <c r="K88" s="35" t="s">
        <v>65</v>
      </c>
      <c r="L88" s="72">
        <v>88</v>
      </c>
      <c r="M88" s="72"/>
      <c r="N88" s="73"/>
      <c r="O88" s="80" t="s">
        <v>409</v>
      </c>
      <c r="P88" s="82">
        <v>44477.593680555554</v>
      </c>
      <c r="Q88" s="80" t="s">
        <v>442</v>
      </c>
      <c r="R88" s="80"/>
      <c r="S88" s="80"/>
      <c r="T88" s="80"/>
      <c r="U88" s="80"/>
      <c r="V88" s="85" t="str">
        <f>HYPERLINK("https://pbs.twimg.com/profile_images/1441367829312245766/Q9z4NC_n_normal.jpg")</f>
        <v>https://pbs.twimg.com/profile_images/1441367829312245766/Q9z4NC_n_normal.jpg</v>
      </c>
      <c r="W88" s="82">
        <v>44477.593680555554</v>
      </c>
      <c r="X88" s="87">
        <v>44477</v>
      </c>
      <c r="Y88" s="83" t="s">
        <v>616</v>
      </c>
      <c r="Z88" s="85" t="str">
        <f>HYPERLINK("https://twitter.com/avf_scooby2000/status/1446479216069992451")</f>
        <v>https://twitter.com/avf_scooby2000/status/1446479216069992451</v>
      </c>
      <c r="AA88" s="80"/>
      <c r="AB88" s="80"/>
      <c r="AC88" s="83" t="s">
        <v>799</v>
      </c>
      <c r="AD88" s="83" t="s">
        <v>941</v>
      </c>
      <c r="AE88" s="80" t="b">
        <v>0</v>
      </c>
      <c r="AF88" s="80">
        <v>0</v>
      </c>
      <c r="AG88" s="83" t="s">
        <v>957</v>
      </c>
      <c r="AH88" s="80" t="b">
        <v>0</v>
      </c>
      <c r="AI88" s="80" t="s">
        <v>967</v>
      </c>
      <c r="AJ88" s="80"/>
      <c r="AK88" s="83" t="s">
        <v>952</v>
      </c>
      <c r="AL88" s="80" t="b">
        <v>0</v>
      </c>
      <c r="AM88" s="80">
        <v>0</v>
      </c>
      <c r="AN88" s="83" t="s">
        <v>952</v>
      </c>
      <c r="AO88" s="83" t="s">
        <v>979</v>
      </c>
      <c r="AP88" s="80" t="b">
        <v>0</v>
      </c>
      <c r="AQ88" s="83" t="s">
        <v>941</v>
      </c>
      <c r="AR88" s="80" t="s">
        <v>196</v>
      </c>
      <c r="AS88" s="80">
        <v>0</v>
      </c>
      <c r="AT88" s="80">
        <v>0</v>
      </c>
      <c r="AU88" s="80"/>
      <c r="AV88" s="80"/>
      <c r="AW88" s="80"/>
      <c r="AX88" s="80"/>
      <c r="AY88" s="80"/>
      <c r="AZ88" s="80"/>
      <c r="BA88" s="80"/>
      <c r="BB88" s="80"/>
      <c r="BC88">
        <v>1</v>
      </c>
      <c r="BD88" s="79" t="str">
        <f>REPLACE(INDEX(GroupVertices[Group],MATCH(Edges[[#This Row],[Vertex 1]],GroupVertices[Vertex],0)),1,1,"")</f>
        <v>21</v>
      </c>
      <c r="BE88" s="79" t="str">
        <f>REPLACE(INDEX(GroupVertices[Group],MATCH(Edges[[#This Row],[Vertex 2]],GroupVertices[Vertex],0)),1,1,"")</f>
        <v>21</v>
      </c>
      <c r="BF88" s="49">
        <v>1</v>
      </c>
      <c r="BG88" s="50">
        <v>3.8461538461538463</v>
      </c>
      <c r="BH88" s="49">
        <v>0</v>
      </c>
      <c r="BI88" s="50">
        <v>0</v>
      </c>
      <c r="BJ88" s="49">
        <v>0</v>
      </c>
      <c r="BK88" s="50">
        <v>0</v>
      </c>
      <c r="BL88" s="49">
        <v>25</v>
      </c>
      <c r="BM88" s="50">
        <v>96.15384615384616</v>
      </c>
      <c r="BN88" s="49">
        <v>26</v>
      </c>
    </row>
    <row r="89" spans="1:66" ht="15">
      <c r="A89" s="65" t="s">
        <v>281</v>
      </c>
      <c r="B89" s="65" t="s">
        <v>281</v>
      </c>
      <c r="C89" s="66" t="s">
        <v>2815</v>
      </c>
      <c r="D89" s="67">
        <v>3</v>
      </c>
      <c r="E89" s="66" t="s">
        <v>132</v>
      </c>
      <c r="F89" s="69">
        <v>32</v>
      </c>
      <c r="G89" s="66"/>
      <c r="H89" s="70"/>
      <c r="I89" s="71"/>
      <c r="J89" s="71"/>
      <c r="K89" s="35" t="s">
        <v>65</v>
      </c>
      <c r="L89" s="72">
        <v>89</v>
      </c>
      <c r="M89" s="72"/>
      <c r="N89" s="73"/>
      <c r="O89" s="80" t="s">
        <v>196</v>
      </c>
      <c r="P89" s="82">
        <v>44477.56270833333</v>
      </c>
      <c r="Q89" s="80" t="s">
        <v>443</v>
      </c>
      <c r="R89" s="85" t="str">
        <f>HYPERLINK("https://www.fooddive.com/news/75-of-cell-based-meat-companies-prefer-the-term-cultivated-for-their-pro/607500/")</f>
        <v>https://www.fooddive.com/news/75-of-cell-based-meat-companies-prefer-the-term-cultivated-for-their-pro/607500/</v>
      </c>
      <c r="S89" s="80" t="s">
        <v>514</v>
      </c>
      <c r="T89" s="83" t="s">
        <v>554</v>
      </c>
      <c r="U89" s="80"/>
      <c r="V89" s="85" t="str">
        <f>HYPERLINK("https://pbs.twimg.com/profile_images/943566393122873344/4dyGWW3x_normal.jpg")</f>
        <v>https://pbs.twimg.com/profile_images/943566393122873344/4dyGWW3x_normal.jpg</v>
      </c>
      <c r="W89" s="82">
        <v>44477.56270833333</v>
      </c>
      <c r="X89" s="87">
        <v>44477</v>
      </c>
      <c r="Y89" s="83" t="s">
        <v>617</v>
      </c>
      <c r="Z89" s="85" t="str">
        <f>HYPERLINK("https://twitter.com/culinarycultur1/status/1446467992993271849")</f>
        <v>https://twitter.com/culinarycultur1/status/1446467992993271849</v>
      </c>
      <c r="AA89" s="80"/>
      <c r="AB89" s="80"/>
      <c r="AC89" s="83" t="s">
        <v>800</v>
      </c>
      <c r="AD89" s="80"/>
      <c r="AE89" s="80" t="b">
        <v>0</v>
      </c>
      <c r="AF89" s="80">
        <v>2</v>
      </c>
      <c r="AG89" s="83" t="s">
        <v>952</v>
      </c>
      <c r="AH89" s="80" t="b">
        <v>0</v>
      </c>
      <c r="AI89" s="80" t="s">
        <v>967</v>
      </c>
      <c r="AJ89" s="80"/>
      <c r="AK89" s="83" t="s">
        <v>952</v>
      </c>
      <c r="AL89" s="80" t="b">
        <v>0</v>
      </c>
      <c r="AM89" s="80">
        <v>1</v>
      </c>
      <c r="AN89" s="83" t="s">
        <v>952</v>
      </c>
      <c r="AO89" s="83" t="s">
        <v>981</v>
      </c>
      <c r="AP89" s="80" t="b">
        <v>0</v>
      </c>
      <c r="AQ89" s="83" t="s">
        <v>800</v>
      </c>
      <c r="AR89" s="80" t="s">
        <v>196</v>
      </c>
      <c r="AS89" s="80">
        <v>0</v>
      </c>
      <c r="AT89" s="80">
        <v>0</v>
      </c>
      <c r="AU89" s="80"/>
      <c r="AV89" s="80"/>
      <c r="AW89" s="80"/>
      <c r="AX89" s="80"/>
      <c r="AY89" s="80"/>
      <c r="AZ89" s="80"/>
      <c r="BA89" s="80"/>
      <c r="BB89" s="80"/>
      <c r="BC89">
        <v>1</v>
      </c>
      <c r="BD89" s="79" t="str">
        <f>REPLACE(INDEX(GroupVertices[Group],MATCH(Edges[[#This Row],[Vertex 1]],GroupVertices[Vertex],0)),1,1,"")</f>
        <v>20</v>
      </c>
      <c r="BE89" s="79" t="str">
        <f>REPLACE(INDEX(GroupVertices[Group],MATCH(Edges[[#This Row],[Vertex 2]],GroupVertices[Vertex],0)),1,1,"")</f>
        <v>20</v>
      </c>
      <c r="BF89" s="49">
        <v>1</v>
      </c>
      <c r="BG89" s="50">
        <v>3.8461538461538463</v>
      </c>
      <c r="BH89" s="49">
        <v>0</v>
      </c>
      <c r="BI89" s="50">
        <v>0</v>
      </c>
      <c r="BJ89" s="49">
        <v>0</v>
      </c>
      <c r="BK89" s="50">
        <v>0</v>
      </c>
      <c r="BL89" s="49">
        <v>25</v>
      </c>
      <c r="BM89" s="50">
        <v>96.15384615384616</v>
      </c>
      <c r="BN89" s="49">
        <v>26</v>
      </c>
    </row>
    <row r="90" spans="1:66" ht="15">
      <c r="A90" s="65" t="s">
        <v>282</v>
      </c>
      <c r="B90" s="65" t="s">
        <v>281</v>
      </c>
      <c r="C90" s="66" t="s">
        <v>2815</v>
      </c>
      <c r="D90" s="67">
        <v>3</v>
      </c>
      <c r="E90" s="66" t="s">
        <v>132</v>
      </c>
      <c r="F90" s="69">
        <v>32</v>
      </c>
      <c r="G90" s="66"/>
      <c r="H90" s="70"/>
      <c r="I90" s="71"/>
      <c r="J90" s="71"/>
      <c r="K90" s="35" t="s">
        <v>65</v>
      </c>
      <c r="L90" s="72">
        <v>90</v>
      </c>
      <c r="M90" s="72"/>
      <c r="N90" s="73"/>
      <c r="O90" s="80" t="s">
        <v>408</v>
      </c>
      <c r="P90" s="82">
        <v>44477.69766203704</v>
      </c>
      <c r="Q90" s="80" t="s">
        <v>443</v>
      </c>
      <c r="R90" s="85" t="str">
        <f>HYPERLINK("https://www.fooddive.com/news/75-of-cell-based-meat-companies-prefer-the-term-cultivated-for-their-pro/607500/")</f>
        <v>https://www.fooddive.com/news/75-of-cell-based-meat-companies-prefer-the-term-cultivated-for-their-pro/607500/</v>
      </c>
      <c r="S90" s="80" t="s">
        <v>514</v>
      </c>
      <c r="T90" s="83" t="s">
        <v>554</v>
      </c>
      <c r="U90" s="80"/>
      <c r="V90" s="85" t="str">
        <f>HYPERLINK("https://pbs.twimg.com/profile_images/1415732051316150272/4wJ4cGoY_normal.jpg")</f>
        <v>https://pbs.twimg.com/profile_images/1415732051316150272/4wJ4cGoY_normal.jpg</v>
      </c>
      <c r="W90" s="82">
        <v>44477.69766203704</v>
      </c>
      <c r="X90" s="87">
        <v>44477</v>
      </c>
      <c r="Y90" s="83" t="s">
        <v>618</v>
      </c>
      <c r="Z90" s="85" t="str">
        <f>HYPERLINK("https://twitter.com/sial_america/status/1446516897764319259")</f>
        <v>https://twitter.com/sial_america/status/1446516897764319259</v>
      </c>
      <c r="AA90" s="80"/>
      <c r="AB90" s="80"/>
      <c r="AC90" s="83" t="s">
        <v>801</v>
      </c>
      <c r="AD90" s="80"/>
      <c r="AE90" s="80" t="b">
        <v>0</v>
      </c>
      <c r="AF90" s="80">
        <v>0</v>
      </c>
      <c r="AG90" s="83" t="s">
        <v>952</v>
      </c>
      <c r="AH90" s="80" t="b">
        <v>0</v>
      </c>
      <c r="AI90" s="80" t="s">
        <v>967</v>
      </c>
      <c r="AJ90" s="80"/>
      <c r="AK90" s="83" t="s">
        <v>952</v>
      </c>
      <c r="AL90" s="80" t="b">
        <v>0</v>
      </c>
      <c r="AM90" s="80">
        <v>1</v>
      </c>
      <c r="AN90" s="83" t="s">
        <v>800</v>
      </c>
      <c r="AO90" s="83" t="s">
        <v>972</v>
      </c>
      <c r="AP90" s="80" t="b">
        <v>0</v>
      </c>
      <c r="AQ90" s="83" t="s">
        <v>800</v>
      </c>
      <c r="AR90" s="80" t="s">
        <v>196</v>
      </c>
      <c r="AS90" s="80">
        <v>0</v>
      </c>
      <c r="AT90" s="80">
        <v>0</v>
      </c>
      <c r="AU90" s="80"/>
      <c r="AV90" s="80"/>
      <c r="AW90" s="80"/>
      <c r="AX90" s="80"/>
      <c r="AY90" s="80"/>
      <c r="AZ90" s="80"/>
      <c r="BA90" s="80"/>
      <c r="BB90" s="80"/>
      <c r="BC90">
        <v>1</v>
      </c>
      <c r="BD90" s="79" t="str">
        <f>REPLACE(INDEX(GroupVertices[Group],MATCH(Edges[[#This Row],[Vertex 1]],GroupVertices[Vertex],0)),1,1,"")</f>
        <v>20</v>
      </c>
      <c r="BE90" s="79" t="str">
        <f>REPLACE(INDEX(GroupVertices[Group],MATCH(Edges[[#This Row],[Vertex 2]],GroupVertices[Vertex],0)),1,1,"")</f>
        <v>20</v>
      </c>
      <c r="BF90" s="49">
        <v>1</v>
      </c>
      <c r="BG90" s="50">
        <v>3.8461538461538463</v>
      </c>
      <c r="BH90" s="49">
        <v>0</v>
      </c>
      <c r="BI90" s="50">
        <v>0</v>
      </c>
      <c r="BJ90" s="49">
        <v>0</v>
      </c>
      <c r="BK90" s="50">
        <v>0</v>
      </c>
      <c r="BL90" s="49">
        <v>25</v>
      </c>
      <c r="BM90" s="50">
        <v>96.15384615384616</v>
      </c>
      <c r="BN90" s="49">
        <v>26</v>
      </c>
    </row>
    <row r="91" spans="1:66" ht="15">
      <c r="A91" s="65" t="s">
        <v>283</v>
      </c>
      <c r="B91" s="65" t="s">
        <v>380</v>
      </c>
      <c r="C91" s="66" t="s">
        <v>2815</v>
      </c>
      <c r="D91" s="67">
        <v>3</v>
      </c>
      <c r="E91" s="66" t="s">
        <v>132</v>
      </c>
      <c r="F91" s="69">
        <v>32</v>
      </c>
      <c r="G91" s="66"/>
      <c r="H91" s="70"/>
      <c r="I91" s="71"/>
      <c r="J91" s="71"/>
      <c r="K91" s="35" t="s">
        <v>65</v>
      </c>
      <c r="L91" s="72">
        <v>91</v>
      </c>
      <c r="M91" s="72"/>
      <c r="N91" s="73"/>
      <c r="O91" s="80" t="s">
        <v>407</v>
      </c>
      <c r="P91" s="82">
        <v>44477.76896990741</v>
      </c>
      <c r="Q91" s="80" t="s">
        <v>438</v>
      </c>
      <c r="R91" s="80"/>
      <c r="S91" s="80"/>
      <c r="T91" s="83" t="s">
        <v>553</v>
      </c>
      <c r="U91" s="85" t="str">
        <f>HYPERLINK("https://pbs.twimg.com/media/FBI7gPFVQAMNirk.jpg")</f>
        <v>https://pbs.twimg.com/media/FBI7gPFVQAMNirk.jpg</v>
      </c>
      <c r="V91" s="85" t="str">
        <f>HYPERLINK("https://pbs.twimg.com/media/FBI7gPFVQAMNirk.jpg")</f>
        <v>https://pbs.twimg.com/media/FBI7gPFVQAMNirk.jpg</v>
      </c>
      <c r="W91" s="82">
        <v>44477.76896990741</v>
      </c>
      <c r="X91" s="87">
        <v>44477</v>
      </c>
      <c r="Y91" s="83" t="s">
        <v>619</v>
      </c>
      <c r="Z91" s="85" t="str">
        <f>HYPERLINK("https://twitter.com/ra_mc/status/1446542740456681475")</f>
        <v>https://twitter.com/ra_mc/status/1446542740456681475</v>
      </c>
      <c r="AA91" s="80"/>
      <c r="AB91" s="80"/>
      <c r="AC91" s="83" t="s">
        <v>802</v>
      </c>
      <c r="AD91" s="80"/>
      <c r="AE91" s="80" t="b">
        <v>0</v>
      </c>
      <c r="AF91" s="80">
        <v>0</v>
      </c>
      <c r="AG91" s="83" t="s">
        <v>952</v>
      </c>
      <c r="AH91" s="80" t="b">
        <v>0</v>
      </c>
      <c r="AI91" s="80" t="s">
        <v>967</v>
      </c>
      <c r="AJ91" s="80"/>
      <c r="AK91" s="83" t="s">
        <v>952</v>
      </c>
      <c r="AL91" s="80" t="b">
        <v>0</v>
      </c>
      <c r="AM91" s="80">
        <v>3</v>
      </c>
      <c r="AN91" s="83" t="s">
        <v>914</v>
      </c>
      <c r="AO91" s="83" t="s">
        <v>982</v>
      </c>
      <c r="AP91" s="80" t="b">
        <v>0</v>
      </c>
      <c r="AQ91" s="83" t="s">
        <v>914</v>
      </c>
      <c r="AR91" s="80" t="s">
        <v>196</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283</v>
      </c>
      <c r="B92" s="65" t="s">
        <v>381</v>
      </c>
      <c r="C92" s="66" t="s">
        <v>2815</v>
      </c>
      <c r="D92" s="67">
        <v>3</v>
      </c>
      <c r="E92" s="66" t="s">
        <v>132</v>
      </c>
      <c r="F92" s="69">
        <v>32</v>
      </c>
      <c r="G92" s="66"/>
      <c r="H92" s="70"/>
      <c r="I92" s="71"/>
      <c r="J92" s="71"/>
      <c r="K92" s="35" t="s">
        <v>65</v>
      </c>
      <c r="L92" s="72">
        <v>92</v>
      </c>
      <c r="M92" s="72"/>
      <c r="N92" s="73"/>
      <c r="O92" s="80" t="s">
        <v>407</v>
      </c>
      <c r="P92" s="82">
        <v>44477.76896990741</v>
      </c>
      <c r="Q92" s="80" t="s">
        <v>438</v>
      </c>
      <c r="R92" s="80"/>
      <c r="S92" s="80"/>
      <c r="T92" s="83" t="s">
        <v>553</v>
      </c>
      <c r="U92" s="85" t="str">
        <f>HYPERLINK("https://pbs.twimg.com/media/FBI7gPFVQAMNirk.jpg")</f>
        <v>https://pbs.twimg.com/media/FBI7gPFVQAMNirk.jpg</v>
      </c>
      <c r="V92" s="85" t="str">
        <f>HYPERLINK("https://pbs.twimg.com/media/FBI7gPFVQAMNirk.jpg")</f>
        <v>https://pbs.twimg.com/media/FBI7gPFVQAMNirk.jpg</v>
      </c>
      <c r="W92" s="82">
        <v>44477.76896990741</v>
      </c>
      <c r="X92" s="87">
        <v>44477</v>
      </c>
      <c r="Y92" s="83" t="s">
        <v>619</v>
      </c>
      <c r="Z92" s="85" t="str">
        <f>HYPERLINK("https://twitter.com/ra_mc/status/1446542740456681475")</f>
        <v>https://twitter.com/ra_mc/status/1446542740456681475</v>
      </c>
      <c r="AA92" s="80"/>
      <c r="AB92" s="80"/>
      <c r="AC92" s="83" t="s">
        <v>802</v>
      </c>
      <c r="AD92" s="80"/>
      <c r="AE92" s="80" t="b">
        <v>0</v>
      </c>
      <c r="AF92" s="80">
        <v>0</v>
      </c>
      <c r="AG92" s="83" t="s">
        <v>952</v>
      </c>
      <c r="AH92" s="80" t="b">
        <v>0</v>
      </c>
      <c r="AI92" s="80" t="s">
        <v>967</v>
      </c>
      <c r="AJ92" s="80"/>
      <c r="AK92" s="83" t="s">
        <v>952</v>
      </c>
      <c r="AL92" s="80" t="b">
        <v>0</v>
      </c>
      <c r="AM92" s="80">
        <v>3</v>
      </c>
      <c r="AN92" s="83" t="s">
        <v>914</v>
      </c>
      <c r="AO92" s="83" t="s">
        <v>982</v>
      </c>
      <c r="AP92" s="80" t="b">
        <v>0</v>
      </c>
      <c r="AQ92" s="83" t="s">
        <v>914</v>
      </c>
      <c r="AR92" s="80" t="s">
        <v>196</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283</v>
      </c>
      <c r="B93" s="65" t="s">
        <v>350</v>
      </c>
      <c r="C93" s="66" t="s">
        <v>2815</v>
      </c>
      <c r="D93" s="67">
        <v>3</v>
      </c>
      <c r="E93" s="66" t="s">
        <v>132</v>
      </c>
      <c r="F93" s="69">
        <v>32</v>
      </c>
      <c r="G93" s="66"/>
      <c r="H93" s="70"/>
      <c r="I93" s="71"/>
      <c r="J93" s="71"/>
      <c r="K93" s="35" t="s">
        <v>65</v>
      </c>
      <c r="L93" s="72">
        <v>93</v>
      </c>
      <c r="M93" s="72"/>
      <c r="N93" s="73"/>
      <c r="O93" s="80" t="s">
        <v>408</v>
      </c>
      <c r="P93" s="82">
        <v>44477.76896990741</v>
      </c>
      <c r="Q93" s="80" t="s">
        <v>438</v>
      </c>
      <c r="R93" s="80"/>
      <c r="S93" s="80"/>
      <c r="T93" s="83" t="s">
        <v>553</v>
      </c>
      <c r="U93" s="85" t="str">
        <f>HYPERLINK("https://pbs.twimg.com/media/FBI7gPFVQAMNirk.jpg")</f>
        <v>https://pbs.twimg.com/media/FBI7gPFVQAMNirk.jpg</v>
      </c>
      <c r="V93" s="85" t="str">
        <f>HYPERLINK("https://pbs.twimg.com/media/FBI7gPFVQAMNirk.jpg")</f>
        <v>https://pbs.twimg.com/media/FBI7gPFVQAMNirk.jpg</v>
      </c>
      <c r="W93" s="82">
        <v>44477.76896990741</v>
      </c>
      <c r="X93" s="87">
        <v>44477</v>
      </c>
      <c r="Y93" s="83" t="s">
        <v>619</v>
      </c>
      <c r="Z93" s="85" t="str">
        <f>HYPERLINK("https://twitter.com/ra_mc/status/1446542740456681475")</f>
        <v>https://twitter.com/ra_mc/status/1446542740456681475</v>
      </c>
      <c r="AA93" s="80"/>
      <c r="AB93" s="80"/>
      <c r="AC93" s="83" t="s">
        <v>802</v>
      </c>
      <c r="AD93" s="80"/>
      <c r="AE93" s="80" t="b">
        <v>0</v>
      </c>
      <c r="AF93" s="80">
        <v>0</v>
      </c>
      <c r="AG93" s="83" t="s">
        <v>952</v>
      </c>
      <c r="AH93" s="80" t="b">
        <v>0</v>
      </c>
      <c r="AI93" s="80" t="s">
        <v>967</v>
      </c>
      <c r="AJ93" s="80"/>
      <c r="AK93" s="83" t="s">
        <v>952</v>
      </c>
      <c r="AL93" s="80" t="b">
        <v>0</v>
      </c>
      <c r="AM93" s="80">
        <v>3</v>
      </c>
      <c r="AN93" s="83" t="s">
        <v>914</v>
      </c>
      <c r="AO93" s="83" t="s">
        <v>982</v>
      </c>
      <c r="AP93" s="80" t="b">
        <v>0</v>
      </c>
      <c r="AQ93" s="83" t="s">
        <v>914</v>
      </c>
      <c r="AR93" s="80" t="s">
        <v>196</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49">
        <v>3</v>
      </c>
      <c r="BG93" s="50">
        <v>7.894736842105263</v>
      </c>
      <c r="BH93" s="49">
        <v>0</v>
      </c>
      <c r="BI93" s="50">
        <v>0</v>
      </c>
      <c r="BJ93" s="49">
        <v>0</v>
      </c>
      <c r="BK93" s="50">
        <v>0</v>
      </c>
      <c r="BL93" s="49">
        <v>35</v>
      </c>
      <c r="BM93" s="50">
        <v>92.10526315789474</v>
      </c>
      <c r="BN93" s="49">
        <v>38</v>
      </c>
    </row>
    <row r="94" spans="1:66" ht="15">
      <c r="A94" s="65" t="s">
        <v>284</v>
      </c>
      <c r="B94" s="65" t="s">
        <v>284</v>
      </c>
      <c r="C94" s="66" t="s">
        <v>2815</v>
      </c>
      <c r="D94" s="67">
        <v>3</v>
      </c>
      <c r="E94" s="66" t="s">
        <v>132</v>
      </c>
      <c r="F94" s="69">
        <v>32</v>
      </c>
      <c r="G94" s="66"/>
      <c r="H94" s="70"/>
      <c r="I94" s="71"/>
      <c r="J94" s="71"/>
      <c r="K94" s="35" t="s">
        <v>65</v>
      </c>
      <c r="L94" s="72">
        <v>94</v>
      </c>
      <c r="M94" s="72"/>
      <c r="N94" s="73"/>
      <c r="O94" s="80" t="s">
        <v>196</v>
      </c>
      <c r="P94" s="82">
        <v>44477.807800925926</v>
      </c>
      <c r="Q94" s="80" t="s">
        <v>444</v>
      </c>
      <c r="R94" s="85" t="str">
        <f>HYPERLINK("https://vegnews.com/2021/10/ashton-kutcher-cell-based-meat")</f>
        <v>https://vegnews.com/2021/10/ashton-kutcher-cell-based-meat</v>
      </c>
      <c r="S94" s="80" t="s">
        <v>532</v>
      </c>
      <c r="T94" s="83" t="s">
        <v>555</v>
      </c>
      <c r="U94" s="80"/>
      <c r="V94" s="85" t="str">
        <f>HYPERLINK("https://pbs.twimg.com/profile_images/602921690318786560/FVC_WcM4_normal.png")</f>
        <v>https://pbs.twimg.com/profile_images/602921690318786560/FVC_WcM4_normal.png</v>
      </c>
      <c r="W94" s="82">
        <v>44477.807800925926</v>
      </c>
      <c r="X94" s="87">
        <v>44477</v>
      </c>
      <c r="Y94" s="83" t="s">
        <v>620</v>
      </c>
      <c r="Z94" s="85" t="str">
        <f>HYPERLINK("https://twitter.com/3dprintmaven/status/1446556810693992448")</f>
        <v>https://twitter.com/3dprintmaven/status/1446556810693992448</v>
      </c>
      <c r="AA94" s="80"/>
      <c r="AB94" s="80"/>
      <c r="AC94" s="83" t="s">
        <v>803</v>
      </c>
      <c r="AD94" s="80"/>
      <c r="AE94" s="80" t="b">
        <v>0</v>
      </c>
      <c r="AF94" s="80">
        <v>1</v>
      </c>
      <c r="AG94" s="83" t="s">
        <v>952</v>
      </c>
      <c r="AH94" s="80" t="b">
        <v>0</v>
      </c>
      <c r="AI94" s="80" t="s">
        <v>967</v>
      </c>
      <c r="AJ94" s="80"/>
      <c r="AK94" s="83" t="s">
        <v>952</v>
      </c>
      <c r="AL94" s="80" t="b">
        <v>0</v>
      </c>
      <c r="AM94" s="80">
        <v>0</v>
      </c>
      <c r="AN94" s="83" t="s">
        <v>952</v>
      </c>
      <c r="AO94" s="83" t="s">
        <v>983</v>
      </c>
      <c r="AP94" s="80" t="b">
        <v>0</v>
      </c>
      <c r="AQ94" s="83" t="s">
        <v>803</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5" t="s">
        <v>285</v>
      </c>
      <c r="B95" s="65" t="s">
        <v>285</v>
      </c>
      <c r="C95" s="66" t="s">
        <v>2815</v>
      </c>
      <c r="D95" s="67">
        <v>3</v>
      </c>
      <c r="E95" s="66" t="s">
        <v>132</v>
      </c>
      <c r="F95" s="69">
        <v>32</v>
      </c>
      <c r="G95" s="66"/>
      <c r="H95" s="70"/>
      <c r="I95" s="71"/>
      <c r="J95" s="71"/>
      <c r="K95" s="35" t="s">
        <v>65</v>
      </c>
      <c r="L95" s="72">
        <v>95</v>
      </c>
      <c r="M95" s="72"/>
      <c r="N95" s="73"/>
      <c r="O95" s="80" t="s">
        <v>196</v>
      </c>
      <c r="P95" s="82">
        <v>44477.81037037037</v>
      </c>
      <c r="Q95" s="80" t="s">
        <v>445</v>
      </c>
      <c r="R95" s="85" t="str">
        <f>HYPERLINK("https://vegnews.com/2021/10/ashton-kutcher-cell-based-meat")</f>
        <v>https://vegnews.com/2021/10/ashton-kutcher-cell-based-meat</v>
      </c>
      <c r="S95" s="80" t="s">
        <v>532</v>
      </c>
      <c r="T95" s="80"/>
      <c r="U95" s="85" t="str">
        <f>HYPERLINK("https://pbs.twimg.com/media/FBM0mlKXEC0uDzh.jpg")</f>
        <v>https://pbs.twimg.com/media/FBM0mlKXEC0uDzh.jpg</v>
      </c>
      <c r="V95" s="85" t="str">
        <f>HYPERLINK("https://pbs.twimg.com/media/FBM0mlKXEC0uDzh.jpg")</f>
        <v>https://pbs.twimg.com/media/FBM0mlKXEC0uDzh.jpg</v>
      </c>
      <c r="W95" s="82">
        <v>44477.81037037037</v>
      </c>
      <c r="X95" s="87">
        <v>44477</v>
      </c>
      <c r="Y95" s="83" t="s">
        <v>621</v>
      </c>
      <c r="Z95" s="85" t="str">
        <f>HYPERLINK("https://twitter.com/mslisawilliams/status/1446557744249593858")</f>
        <v>https://twitter.com/mslisawilliams/status/1446557744249593858</v>
      </c>
      <c r="AA95" s="80"/>
      <c r="AB95" s="80"/>
      <c r="AC95" s="83" t="s">
        <v>804</v>
      </c>
      <c r="AD95" s="80"/>
      <c r="AE95" s="80" t="b">
        <v>0</v>
      </c>
      <c r="AF95" s="80">
        <v>0</v>
      </c>
      <c r="AG95" s="83" t="s">
        <v>952</v>
      </c>
      <c r="AH95" s="80" t="b">
        <v>0</v>
      </c>
      <c r="AI95" s="80" t="s">
        <v>967</v>
      </c>
      <c r="AJ95" s="80"/>
      <c r="AK95" s="83" t="s">
        <v>952</v>
      </c>
      <c r="AL95" s="80" t="b">
        <v>0</v>
      </c>
      <c r="AM95" s="80">
        <v>0</v>
      </c>
      <c r="AN95" s="83" t="s">
        <v>952</v>
      </c>
      <c r="AO95" s="83" t="s">
        <v>984</v>
      </c>
      <c r="AP95" s="80" t="b">
        <v>0</v>
      </c>
      <c r="AQ95" s="83" t="s">
        <v>804</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5" t="s">
        <v>286</v>
      </c>
      <c r="B96" s="65" t="s">
        <v>383</v>
      </c>
      <c r="C96" s="66" t="s">
        <v>2815</v>
      </c>
      <c r="D96" s="67">
        <v>3</v>
      </c>
      <c r="E96" s="66" t="s">
        <v>132</v>
      </c>
      <c r="F96" s="69">
        <v>32</v>
      </c>
      <c r="G96" s="66"/>
      <c r="H96" s="70"/>
      <c r="I96" s="71"/>
      <c r="J96" s="71"/>
      <c r="K96" s="35" t="s">
        <v>65</v>
      </c>
      <c r="L96" s="72">
        <v>96</v>
      </c>
      <c r="M96" s="72"/>
      <c r="N96" s="73"/>
      <c r="O96" s="80" t="s">
        <v>406</v>
      </c>
      <c r="P96" s="82">
        <v>44477.81983796296</v>
      </c>
      <c r="Q96" s="80" t="s">
        <v>446</v>
      </c>
      <c r="R96" s="85" t="str">
        <f>HYPERLINK("https://geneticliteracyproject.org/2021/10/08/should-lab-grown-beef-be-labeled-meat-usda-denies-cattle-lobby-petition-to-limit-definition-to-animal-sources/?utm_medium=Social&amp;utm_source=Twitter#Echobox=1633672368-1")</f>
        <v>https://geneticliteracyproject.org/2021/10/08/should-lab-grown-beef-be-labeled-meat-usda-denies-cattle-lobby-petition-to-limit-definition-to-animal-sources/?utm_medium=Social&amp;utm_source=Twitter#Echobox=1633672368-1</v>
      </c>
      <c r="S96" s="80" t="s">
        <v>533</v>
      </c>
      <c r="T96" s="83" t="s">
        <v>556</v>
      </c>
      <c r="U96" s="80"/>
      <c r="V96" s="85" t="str">
        <f>HYPERLINK("https://pbs.twimg.com/profile_images/1193985020521791488/nRCt_CqI_normal.jpg")</f>
        <v>https://pbs.twimg.com/profile_images/1193985020521791488/nRCt_CqI_normal.jpg</v>
      </c>
      <c r="W96" s="82">
        <v>44477.81983796296</v>
      </c>
      <c r="X96" s="87">
        <v>44477</v>
      </c>
      <c r="Y96" s="83" t="s">
        <v>622</v>
      </c>
      <c r="Z96" s="85" t="str">
        <f>HYPERLINK("https://twitter.com/geneticliteracy/status/1446561173500006411")</f>
        <v>https://twitter.com/geneticliteracy/status/1446561173500006411</v>
      </c>
      <c r="AA96" s="80"/>
      <c r="AB96" s="80"/>
      <c r="AC96" s="83" t="s">
        <v>805</v>
      </c>
      <c r="AD96" s="80"/>
      <c r="AE96" s="80" t="b">
        <v>0</v>
      </c>
      <c r="AF96" s="80">
        <v>0</v>
      </c>
      <c r="AG96" s="83" t="s">
        <v>952</v>
      </c>
      <c r="AH96" s="80" t="b">
        <v>0</v>
      </c>
      <c r="AI96" s="80" t="s">
        <v>967</v>
      </c>
      <c r="AJ96" s="80"/>
      <c r="AK96" s="83" t="s">
        <v>952</v>
      </c>
      <c r="AL96" s="80" t="b">
        <v>0</v>
      </c>
      <c r="AM96" s="80">
        <v>0</v>
      </c>
      <c r="AN96" s="83" t="s">
        <v>952</v>
      </c>
      <c r="AO96" s="83" t="s">
        <v>985</v>
      </c>
      <c r="AP96" s="80" t="b">
        <v>0</v>
      </c>
      <c r="AQ96" s="83" t="s">
        <v>805</v>
      </c>
      <c r="AR96" s="80" t="s">
        <v>196</v>
      </c>
      <c r="AS96" s="80">
        <v>0</v>
      </c>
      <c r="AT96" s="80">
        <v>0</v>
      </c>
      <c r="AU96" s="80"/>
      <c r="AV96" s="80"/>
      <c r="AW96" s="80"/>
      <c r="AX96" s="80"/>
      <c r="AY96" s="80"/>
      <c r="AZ96" s="80"/>
      <c r="BA96" s="80"/>
      <c r="BB96" s="80"/>
      <c r="BC96">
        <v>1</v>
      </c>
      <c r="BD96" s="79" t="str">
        <f>REPLACE(INDEX(GroupVertices[Group],MATCH(Edges[[#This Row],[Vertex 1]],GroupVertices[Vertex],0)),1,1,"")</f>
        <v>19</v>
      </c>
      <c r="BE96" s="79" t="str">
        <f>REPLACE(INDEX(GroupVertices[Group],MATCH(Edges[[#This Row],[Vertex 2]],GroupVertices[Vertex],0)),1,1,"")</f>
        <v>19</v>
      </c>
      <c r="BF96" s="49">
        <v>0</v>
      </c>
      <c r="BG96" s="50">
        <v>0</v>
      </c>
      <c r="BH96" s="49">
        <v>0</v>
      </c>
      <c r="BI96" s="50">
        <v>0</v>
      </c>
      <c r="BJ96" s="49">
        <v>0</v>
      </c>
      <c r="BK96" s="50">
        <v>0</v>
      </c>
      <c r="BL96" s="49">
        <v>10</v>
      </c>
      <c r="BM96" s="50">
        <v>100</v>
      </c>
      <c r="BN96" s="49">
        <v>10</v>
      </c>
    </row>
    <row r="97" spans="1:66" ht="15">
      <c r="A97" s="65" t="s">
        <v>287</v>
      </c>
      <c r="B97" s="65" t="s">
        <v>288</v>
      </c>
      <c r="C97" s="66" t="s">
        <v>2815</v>
      </c>
      <c r="D97" s="67">
        <v>3</v>
      </c>
      <c r="E97" s="66" t="s">
        <v>132</v>
      </c>
      <c r="F97" s="69">
        <v>32</v>
      </c>
      <c r="G97" s="66"/>
      <c r="H97" s="70"/>
      <c r="I97" s="71"/>
      <c r="J97" s="71"/>
      <c r="K97" s="35" t="s">
        <v>65</v>
      </c>
      <c r="L97" s="72">
        <v>97</v>
      </c>
      <c r="M97" s="72"/>
      <c r="N97" s="73"/>
      <c r="O97" s="80" t="s">
        <v>408</v>
      </c>
      <c r="P97" s="82">
        <v>44477.825740740744</v>
      </c>
      <c r="Q97" s="80" t="s">
        <v>447</v>
      </c>
      <c r="R97" s="85" t="str">
        <f>HYPERLINK("https://vegnews.com/2021/10/ashton-kutcher-cell-based-meat?utm_source=dlvr.it&amp;utm_medium=twitter")</f>
        <v>https://vegnews.com/2021/10/ashton-kutcher-cell-based-meat?utm_source=dlvr.it&amp;utm_medium=twitter</v>
      </c>
      <c r="S97" s="80" t="s">
        <v>532</v>
      </c>
      <c r="T97" s="80"/>
      <c r="U97" s="85" t="str">
        <f>HYPERLINK("https://pbs.twimg.com/media/FBM5b_gVkAAnFsx.jpg")</f>
        <v>https://pbs.twimg.com/media/FBM5b_gVkAAnFsx.jpg</v>
      </c>
      <c r="V97" s="85" t="str">
        <f>HYPERLINK("https://pbs.twimg.com/media/FBM5b_gVkAAnFsx.jpg")</f>
        <v>https://pbs.twimg.com/media/FBM5b_gVkAAnFsx.jpg</v>
      </c>
      <c r="W97" s="82">
        <v>44477.825740740744</v>
      </c>
      <c r="X97" s="87">
        <v>44477</v>
      </c>
      <c r="Y97" s="83" t="s">
        <v>623</v>
      </c>
      <c r="Z97" s="85" t="str">
        <f>HYPERLINK("https://twitter.com/vsnnj/status/1446563315379933185")</f>
        <v>https://twitter.com/vsnnj/status/1446563315379933185</v>
      </c>
      <c r="AA97" s="80"/>
      <c r="AB97" s="80"/>
      <c r="AC97" s="83" t="s">
        <v>806</v>
      </c>
      <c r="AD97" s="80"/>
      <c r="AE97" s="80" t="b">
        <v>0</v>
      </c>
      <c r="AF97" s="80">
        <v>0</v>
      </c>
      <c r="AG97" s="83" t="s">
        <v>952</v>
      </c>
      <c r="AH97" s="80" t="b">
        <v>0</v>
      </c>
      <c r="AI97" s="80" t="s">
        <v>967</v>
      </c>
      <c r="AJ97" s="80"/>
      <c r="AK97" s="83" t="s">
        <v>952</v>
      </c>
      <c r="AL97" s="80" t="b">
        <v>0</v>
      </c>
      <c r="AM97" s="80">
        <v>2</v>
      </c>
      <c r="AN97" s="83" t="s">
        <v>807</v>
      </c>
      <c r="AO97" s="83" t="s">
        <v>986</v>
      </c>
      <c r="AP97" s="80" t="b">
        <v>0</v>
      </c>
      <c r="AQ97" s="83" t="s">
        <v>807</v>
      </c>
      <c r="AR97" s="80" t="s">
        <v>196</v>
      </c>
      <c r="AS97" s="80">
        <v>0</v>
      </c>
      <c r="AT97" s="80">
        <v>0</v>
      </c>
      <c r="AU97" s="80"/>
      <c r="AV97" s="80"/>
      <c r="AW97" s="80"/>
      <c r="AX97" s="80"/>
      <c r="AY97" s="80"/>
      <c r="AZ97" s="80"/>
      <c r="BA97" s="80"/>
      <c r="BB97" s="80"/>
      <c r="BC97">
        <v>1</v>
      </c>
      <c r="BD97" s="79" t="str">
        <f>REPLACE(INDEX(GroupVertices[Group],MATCH(Edges[[#This Row],[Vertex 1]],GroupVertices[Vertex],0)),1,1,"")</f>
        <v>13</v>
      </c>
      <c r="BE97" s="79" t="str">
        <f>REPLACE(INDEX(GroupVertices[Group],MATCH(Edges[[#This Row],[Vertex 2]],GroupVertices[Vertex],0)),1,1,"")</f>
        <v>13</v>
      </c>
      <c r="BF97" s="49">
        <v>0</v>
      </c>
      <c r="BG97" s="50">
        <v>0</v>
      </c>
      <c r="BH97" s="49">
        <v>0</v>
      </c>
      <c r="BI97" s="50">
        <v>0</v>
      </c>
      <c r="BJ97" s="49">
        <v>0</v>
      </c>
      <c r="BK97" s="50">
        <v>0</v>
      </c>
      <c r="BL97" s="49">
        <v>11</v>
      </c>
      <c r="BM97" s="50">
        <v>100</v>
      </c>
      <c r="BN97" s="49">
        <v>11</v>
      </c>
    </row>
    <row r="98" spans="1:66" ht="15">
      <c r="A98" s="65" t="s">
        <v>288</v>
      </c>
      <c r="B98" s="65" t="s">
        <v>288</v>
      </c>
      <c r="C98" s="66" t="s">
        <v>2815</v>
      </c>
      <c r="D98" s="67">
        <v>3</v>
      </c>
      <c r="E98" s="66" t="s">
        <v>132</v>
      </c>
      <c r="F98" s="69">
        <v>32</v>
      </c>
      <c r="G98" s="66"/>
      <c r="H98" s="70"/>
      <c r="I98" s="71"/>
      <c r="J98" s="71"/>
      <c r="K98" s="35" t="s">
        <v>65</v>
      </c>
      <c r="L98" s="72">
        <v>98</v>
      </c>
      <c r="M98" s="72"/>
      <c r="N98" s="73"/>
      <c r="O98" s="80" t="s">
        <v>196</v>
      </c>
      <c r="P98" s="82">
        <v>44477.8250462963</v>
      </c>
      <c r="Q98" s="80" t="s">
        <v>447</v>
      </c>
      <c r="R98" s="85" t="str">
        <f>HYPERLINK("https://vegnews.com/2021/10/ashton-kutcher-cell-based-meat?utm_source=dlvr.it&amp;utm_medium=twitter")</f>
        <v>https://vegnews.com/2021/10/ashton-kutcher-cell-based-meat?utm_source=dlvr.it&amp;utm_medium=twitter</v>
      </c>
      <c r="S98" s="80" t="s">
        <v>532</v>
      </c>
      <c r="T98" s="80"/>
      <c r="U98" s="85" t="str">
        <f>HYPERLINK("https://pbs.twimg.com/media/FBM5b_gVkAAnFsx.jpg")</f>
        <v>https://pbs.twimg.com/media/FBM5b_gVkAAnFsx.jpg</v>
      </c>
      <c r="V98" s="85" t="str">
        <f>HYPERLINK("https://pbs.twimg.com/media/FBM5b_gVkAAnFsx.jpg")</f>
        <v>https://pbs.twimg.com/media/FBM5b_gVkAAnFsx.jpg</v>
      </c>
      <c r="W98" s="82">
        <v>44477.8250462963</v>
      </c>
      <c r="X98" s="87">
        <v>44477</v>
      </c>
      <c r="Y98" s="83" t="s">
        <v>624</v>
      </c>
      <c r="Z98" s="85" t="str">
        <f>HYPERLINK("https://twitter.com/verdantsquare/status/1446563060370395137")</f>
        <v>https://twitter.com/verdantsquare/status/1446563060370395137</v>
      </c>
      <c r="AA98" s="80"/>
      <c r="AB98" s="80"/>
      <c r="AC98" s="83" t="s">
        <v>807</v>
      </c>
      <c r="AD98" s="80"/>
      <c r="AE98" s="80" t="b">
        <v>0</v>
      </c>
      <c r="AF98" s="80">
        <v>0</v>
      </c>
      <c r="AG98" s="83" t="s">
        <v>952</v>
      </c>
      <c r="AH98" s="80" t="b">
        <v>0</v>
      </c>
      <c r="AI98" s="80" t="s">
        <v>967</v>
      </c>
      <c r="AJ98" s="80"/>
      <c r="AK98" s="83" t="s">
        <v>952</v>
      </c>
      <c r="AL98" s="80" t="b">
        <v>0</v>
      </c>
      <c r="AM98" s="80">
        <v>2</v>
      </c>
      <c r="AN98" s="83" t="s">
        <v>952</v>
      </c>
      <c r="AO98" s="83" t="s">
        <v>986</v>
      </c>
      <c r="AP98" s="80" t="b">
        <v>0</v>
      </c>
      <c r="AQ98" s="83" t="s">
        <v>807</v>
      </c>
      <c r="AR98" s="80" t="s">
        <v>196</v>
      </c>
      <c r="AS98" s="80">
        <v>0</v>
      </c>
      <c r="AT98" s="80">
        <v>0</v>
      </c>
      <c r="AU98" s="80"/>
      <c r="AV98" s="80"/>
      <c r="AW98" s="80"/>
      <c r="AX98" s="80"/>
      <c r="AY98" s="80"/>
      <c r="AZ98" s="80"/>
      <c r="BA98" s="80"/>
      <c r="BB98" s="80"/>
      <c r="BC98">
        <v>1</v>
      </c>
      <c r="BD98" s="79" t="str">
        <f>REPLACE(INDEX(GroupVertices[Group],MATCH(Edges[[#This Row],[Vertex 1]],GroupVertices[Vertex],0)),1,1,"")</f>
        <v>13</v>
      </c>
      <c r="BE98" s="79" t="str">
        <f>REPLACE(INDEX(GroupVertices[Group],MATCH(Edges[[#This Row],[Vertex 2]],GroupVertices[Vertex],0)),1,1,"")</f>
        <v>13</v>
      </c>
      <c r="BF98" s="49">
        <v>0</v>
      </c>
      <c r="BG98" s="50">
        <v>0</v>
      </c>
      <c r="BH98" s="49">
        <v>0</v>
      </c>
      <c r="BI98" s="50">
        <v>0</v>
      </c>
      <c r="BJ98" s="49">
        <v>0</v>
      </c>
      <c r="BK98" s="50">
        <v>0</v>
      </c>
      <c r="BL98" s="49">
        <v>11</v>
      </c>
      <c r="BM98" s="50">
        <v>100</v>
      </c>
      <c r="BN98" s="49">
        <v>11</v>
      </c>
    </row>
    <row r="99" spans="1:66" ht="15">
      <c r="A99" s="65" t="s">
        <v>289</v>
      </c>
      <c r="B99" s="65" t="s">
        <v>288</v>
      </c>
      <c r="C99" s="66" t="s">
        <v>2815</v>
      </c>
      <c r="D99" s="67">
        <v>3</v>
      </c>
      <c r="E99" s="66" t="s">
        <v>132</v>
      </c>
      <c r="F99" s="69">
        <v>32</v>
      </c>
      <c r="G99" s="66"/>
      <c r="H99" s="70"/>
      <c r="I99" s="71"/>
      <c r="J99" s="71"/>
      <c r="K99" s="35" t="s">
        <v>65</v>
      </c>
      <c r="L99" s="72">
        <v>99</v>
      </c>
      <c r="M99" s="72"/>
      <c r="N99" s="73"/>
      <c r="O99" s="80" t="s">
        <v>408</v>
      </c>
      <c r="P99" s="82">
        <v>44477.82576388889</v>
      </c>
      <c r="Q99" s="80" t="s">
        <v>447</v>
      </c>
      <c r="R99" s="85" t="str">
        <f>HYPERLINK("https://vegnews.com/2021/10/ashton-kutcher-cell-based-meat?utm_source=dlvr.it&amp;utm_medium=twitter")</f>
        <v>https://vegnews.com/2021/10/ashton-kutcher-cell-based-meat?utm_source=dlvr.it&amp;utm_medium=twitter</v>
      </c>
      <c r="S99" s="80" t="s">
        <v>532</v>
      </c>
      <c r="T99" s="80"/>
      <c r="U99" s="85" t="str">
        <f>HYPERLINK("https://pbs.twimg.com/media/FBM5b_gVkAAnFsx.jpg")</f>
        <v>https://pbs.twimg.com/media/FBM5b_gVkAAnFsx.jpg</v>
      </c>
      <c r="V99" s="85" t="str">
        <f>HYPERLINK("https://pbs.twimg.com/media/FBM5b_gVkAAnFsx.jpg")</f>
        <v>https://pbs.twimg.com/media/FBM5b_gVkAAnFsx.jpg</v>
      </c>
      <c r="W99" s="82">
        <v>44477.82576388889</v>
      </c>
      <c r="X99" s="87">
        <v>44477</v>
      </c>
      <c r="Y99" s="83" t="s">
        <v>625</v>
      </c>
      <c r="Z99" s="85" t="str">
        <f>HYPERLINK("https://twitter.com/vsnpenn/status/1446563323768557570")</f>
        <v>https://twitter.com/vsnpenn/status/1446563323768557570</v>
      </c>
      <c r="AA99" s="80"/>
      <c r="AB99" s="80"/>
      <c r="AC99" s="83" t="s">
        <v>808</v>
      </c>
      <c r="AD99" s="80"/>
      <c r="AE99" s="80" t="b">
        <v>0</v>
      </c>
      <c r="AF99" s="80">
        <v>0</v>
      </c>
      <c r="AG99" s="83" t="s">
        <v>952</v>
      </c>
      <c r="AH99" s="80" t="b">
        <v>0</v>
      </c>
      <c r="AI99" s="80" t="s">
        <v>967</v>
      </c>
      <c r="AJ99" s="80"/>
      <c r="AK99" s="83" t="s">
        <v>952</v>
      </c>
      <c r="AL99" s="80" t="b">
        <v>0</v>
      </c>
      <c r="AM99" s="80">
        <v>2</v>
      </c>
      <c r="AN99" s="83" t="s">
        <v>807</v>
      </c>
      <c r="AO99" s="83" t="s">
        <v>986</v>
      </c>
      <c r="AP99" s="80" t="b">
        <v>0</v>
      </c>
      <c r="AQ99" s="83" t="s">
        <v>807</v>
      </c>
      <c r="AR99" s="80" t="s">
        <v>196</v>
      </c>
      <c r="AS99" s="80">
        <v>0</v>
      </c>
      <c r="AT99" s="80">
        <v>0</v>
      </c>
      <c r="AU99" s="80"/>
      <c r="AV99" s="80"/>
      <c r="AW99" s="80"/>
      <c r="AX99" s="80"/>
      <c r="AY99" s="80"/>
      <c r="AZ99" s="80"/>
      <c r="BA99" s="80"/>
      <c r="BB99" s="80"/>
      <c r="BC99">
        <v>1</v>
      </c>
      <c r="BD99" s="79" t="str">
        <f>REPLACE(INDEX(GroupVertices[Group],MATCH(Edges[[#This Row],[Vertex 1]],GroupVertices[Vertex],0)),1,1,"")</f>
        <v>13</v>
      </c>
      <c r="BE99" s="79" t="str">
        <f>REPLACE(INDEX(GroupVertices[Group],MATCH(Edges[[#This Row],[Vertex 2]],GroupVertices[Vertex],0)),1,1,"")</f>
        <v>13</v>
      </c>
      <c r="BF99" s="49">
        <v>0</v>
      </c>
      <c r="BG99" s="50">
        <v>0</v>
      </c>
      <c r="BH99" s="49">
        <v>0</v>
      </c>
      <c r="BI99" s="50">
        <v>0</v>
      </c>
      <c r="BJ99" s="49">
        <v>0</v>
      </c>
      <c r="BK99" s="50">
        <v>0</v>
      </c>
      <c r="BL99" s="49">
        <v>11</v>
      </c>
      <c r="BM99" s="50">
        <v>100</v>
      </c>
      <c r="BN99" s="49">
        <v>11</v>
      </c>
    </row>
    <row r="100" spans="1:66" ht="15">
      <c r="A100" s="65" t="s">
        <v>290</v>
      </c>
      <c r="B100" s="65" t="s">
        <v>290</v>
      </c>
      <c r="C100" s="66" t="s">
        <v>2815</v>
      </c>
      <c r="D100" s="67">
        <v>3</v>
      </c>
      <c r="E100" s="66" t="s">
        <v>132</v>
      </c>
      <c r="F100" s="69">
        <v>32</v>
      </c>
      <c r="G100" s="66"/>
      <c r="H100" s="70"/>
      <c r="I100" s="71"/>
      <c r="J100" s="71"/>
      <c r="K100" s="35" t="s">
        <v>65</v>
      </c>
      <c r="L100" s="72">
        <v>100</v>
      </c>
      <c r="M100" s="72"/>
      <c r="N100" s="73"/>
      <c r="O100" s="80" t="s">
        <v>196</v>
      </c>
      <c r="P100" s="82">
        <v>44477.88753472222</v>
      </c>
      <c r="Q100" s="80" t="s">
        <v>448</v>
      </c>
      <c r="R100" s="85" t="str">
        <f>HYPERLINK("https://www.vegan-insight.com/ashton-kutcher-joins-cell-based-meat-company-to-develop-3d-bioprinting/")</f>
        <v>https://www.vegan-insight.com/ashton-kutcher-joins-cell-based-meat-company-to-develop-3d-bioprinting/</v>
      </c>
      <c r="S100" s="80" t="s">
        <v>534</v>
      </c>
      <c r="T100" s="80"/>
      <c r="U100" s="80"/>
      <c r="V100" s="85" t="str">
        <f>HYPERLINK("https://pbs.twimg.com/profile_images/926539314036596736/ax78FrbV_normal.jpg")</f>
        <v>https://pbs.twimg.com/profile_images/926539314036596736/ax78FrbV_normal.jpg</v>
      </c>
      <c r="W100" s="82">
        <v>44477.88753472222</v>
      </c>
      <c r="X100" s="87">
        <v>44477</v>
      </c>
      <c r="Y100" s="83" t="s">
        <v>626</v>
      </c>
      <c r="Z100" s="85" t="str">
        <f>HYPERLINK("https://twitter.com/veganinsight/status/1446585706902589444")</f>
        <v>https://twitter.com/veganinsight/status/1446585706902589444</v>
      </c>
      <c r="AA100" s="80"/>
      <c r="AB100" s="80"/>
      <c r="AC100" s="83" t="s">
        <v>809</v>
      </c>
      <c r="AD100" s="80"/>
      <c r="AE100" s="80" t="b">
        <v>0</v>
      </c>
      <c r="AF100" s="80">
        <v>0</v>
      </c>
      <c r="AG100" s="83" t="s">
        <v>952</v>
      </c>
      <c r="AH100" s="80" t="b">
        <v>0</v>
      </c>
      <c r="AI100" s="80" t="s">
        <v>967</v>
      </c>
      <c r="AJ100" s="80"/>
      <c r="AK100" s="83" t="s">
        <v>952</v>
      </c>
      <c r="AL100" s="80" t="b">
        <v>0</v>
      </c>
      <c r="AM100" s="80">
        <v>0</v>
      </c>
      <c r="AN100" s="83" t="s">
        <v>952</v>
      </c>
      <c r="AO100" s="83" t="s">
        <v>987</v>
      </c>
      <c r="AP100" s="80" t="b">
        <v>0</v>
      </c>
      <c r="AQ100" s="83" t="s">
        <v>809</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5" t="s">
        <v>291</v>
      </c>
      <c r="B101" s="65" t="s">
        <v>328</v>
      </c>
      <c r="C101" s="66" t="s">
        <v>2815</v>
      </c>
      <c r="D101" s="67">
        <v>3</v>
      </c>
      <c r="E101" s="66" t="s">
        <v>132</v>
      </c>
      <c r="F101" s="69">
        <v>32</v>
      </c>
      <c r="G101" s="66"/>
      <c r="H101" s="70"/>
      <c r="I101" s="71"/>
      <c r="J101" s="71"/>
      <c r="K101" s="35" t="s">
        <v>65</v>
      </c>
      <c r="L101" s="72">
        <v>101</v>
      </c>
      <c r="M101" s="72"/>
      <c r="N101" s="73"/>
      <c r="O101" s="80" t="s">
        <v>408</v>
      </c>
      <c r="P101" s="82">
        <v>44478.00152777778</v>
      </c>
      <c r="Q101" s="80" t="s">
        <v>449</v>
      </c>
      <c r="R101" s="85" t="str">
        <f>HYPERLINK("https://www.greenqueen.com.hk/hong-kong-cell-based-meat-study/?ct=t%28OCT+8+2020+INDUSTRY+SCOOP_COPY_01%29")</f>
        <v>https://www.greenqueen.com.hk/hong-kong-cell-based-meat-study/?ct=t%28OCT+8+2020+INDUSTRY+SCOOP_COPY_01%29</v>
      </c>
      <c r="S101" s="80" t="s">
        <v>525</v>
      </c>
      <c r="T101" s="83" t="s">
        <v>557</v>
      </c>
      <c r="U101" s="85" t="str">
        <f>HYPERLINK("https://pbs.twimg.com/media/FBD5ahCUUAYHMaD.jpg")</f>
        <v>https://pbs.twimg.com/media/FBD5ahCUUAYHMaD.jpg</v>
      </c>
      <c r="V101" s="85" t="str">
        <f>HYPERLINK("https://pbs.twimg.com/media/FBD5ahCUUAYHMaD.jpg")</f>
        <v>https://pbs.twimg.com/media/FBD5ahCUUAYHMaD.jpg</v>
      </c>
      <c r="W101" s="82">
        <v>44478.00152777778</v>
      </c>
      <c r="X101" s="87">
        <v>44478</v>
      </c>
      <c r="Y101" s="83" t="s">
        <v>627</v>
      </c>
      <c r="Z101" s="85" t="str">
        <f>HYPERLINK("https://twitter.com/moongin2100/status/1446627014828564483")</f>
        <v>https://twitter.com/moongin2100/status/1446627014828564483</v>
      </c>
      <c r="AA101" s="80"/>
      <c r="AB101" s="80"/>
      <c r="AC101" s="83" t="s">
        <v>810</v>
      </c>
      <c r="AD101" s="80"/>
      <c r="AE101" s="80" t="b">
        <v>0</v>
      </c>
      <c r="AF101" s="80">
        <v>0</v>
      </c>
      <c r="AG101" s="83" t="s">
        <v>952</v>
      </c>
      <c r="AH101" s="80" t="b">
        <v>0</v>
      </c>
      <c r="AI101" s="80" t="s">
        <v>967</v>
      </c>
      <c r="AJ101" s="80"/>
      <c r="AK101" s="83" t="s">
        <v>952</v>
      </c>
      <c r="AL101" s="80" t="b">
        <v>0</v>
      </c>
      <c r="AM101" s="80">
        <v>3</v>
      </c>
      <c r="AN101" s="83" t="s">
        <v>860</v>
      </c>
      <c r="AO101" s="83" t="s">
        <v>972</v>
      </c>
      <c r="AP101" s="80" t="b">
        <v>0</v>
      </c>
      <c r="AQ101" s="83" t="s">
        <v>860</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12</v>
      </c>
      <c r="BE101" s="79" t="str">
        <f>REPLACE(INDEX(GroupVertices[Group],MATCH(Edges[[#This Row],[Vertex 2]],GroupVertices[Vertex],0)),1,1,"")</f>
        <v>12</v>
      </c>
      <c r="BF101" s="49">
        <v>0</v>
      </c>
      <c r="BG101" s="50">
        <v>0</v>
      </c>
      <c r="BH101" s="49">
        <v>0</v>
      </c>
      <c r="BI101" s="50">
        <v>0</v>
      </c>
      <c r="BJ101" s="49">
        <v>0</v>
      </c>
      <c r="BK101" s="50">
        <v>0</v>
      </c>
      <c r="BL101" s="49">
        <v>12</v>
      </c>
      <c r="BM101" s="50">
        <v>100</v>
      </c>
      <c r="BN101" s="49">
        <v>12</v>
      </c>
    </row>
    <row r="102" spans="1:66" ht="15">
      <c r="A102" s="65" t="s">
        <v>292</v>
      </c>
      <c r="B102" s="65" t="s">
        <v>384</v>
      </c>
      <c r="C102" s="66" t="s">
        <v>2815</v>
      </c>
      <c r="D102" s="67">
        <v>3</v>
      </c>
      <c r="E102" s="66" t="s">
        <v>132</v>
      </c>
      <c r="F102" s="69">
        <v>32</v>
      </c>
      <c r="G102" s="66"/>
      <c r="H102" s="70"/>
      <c r="I102" s="71"/>
      <c r="J102" s="71"/>
      <c r="K102" s="35" t="s">
        <v>65</v>
      </c>
      <c r="L102" s="72">
        <v>102</v>
      </c>
      <c r="M102" s="72"/>
      <c r="N102" s="73"/>
      <c r="O102" s="80" t="s">
        <v>406</v>
      </c>
      <c r="P102" s="82">
        <v>44478.10313657407</v>
      </c>
      <c r="Q102" s="80" t="s">
        <v>450</v>
      </c>
      <c r="R102" s="85" t="str">
        <f>HYPERLINK("https://vegnews.com/2021/10/ashton-kutcher-cell-based-meat")</f>
        <v>https://vegnews.com/2021/10/ashton-kutcher-cell-based-meat</v>
      </c>
      <c r="S102" s="80" t="s">
        <v>532</v>
      </c>
      <c r="T102" s="80"/>
      <c r="U102" s="80"/>
      <c r="V102" s="85" t="str">
        <f>HYPERLINK("https://pbs.twimg.com/profile_images/1425616439764037637/-E-nV6_6_normal.jpg")</f>
        <v>https://pbs.twimg.com/profile_images/1425616439764037637/-E-nV6_6_normal.jpg</v>
      </c>
      <c r="W102" s="82">
        <v>44478.10313657407</v>
      </c>
      <c r="X102" s="87">
        <v>44478</v>
      </c>
      <c r="Y102" s="83" t="s">
        <v>628</v>
      </c>
      <c r="Z102" s="85" t="str">
        <f>HYPERLINK("https://twitter.com/ings4palin/status/1446663836543684610")</f>
        <v>https://twitter.com/ings4palin/status/1446663836543684610</v>
      </c>
      <c r="AA102" s="80"/>
      <c r="AB102" s="80"/>
      <c r="AC102" s="83" t="s">
        <v>811</v>
      </c>
      <c r="AD102" s="80"/>
      <c r="AE102" s="80" t="b">
        <v>0</v>
      </c>
      <c r="AF102" s="80">
        <v>2</v>
      </c>
      <c r="AG102" s="83" t="s">
        <v>958</v>
      </c>
      <c r="AH102" s="80" t="b">
        <v>0</v>
      </c>
      <c r="AI102" s="80" t="s">
        <v>967</v>
      </c>
      <c r="AJ102" s="80"/>
      <c r="AK102" s="83" t="s">
        <v>952</v>
      </c>
      <c r="AL102" s="80" t="b">
        <v>0</v>
      </c>
      <c r="AM102" s="80">
        <v>1</v>
      </c>
      <c r="AN102" s="83" t="s">
        <v>952</v>
      </c>
      <c r="AO102" s="83" t="s">
        <v>979</v>
      </c>
      <c r="AP102" s="80" t="b">
        <v>0</v>
      </c>
      <c r="AQ102" s="83" t="s">
        <v>811</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9</v>
      </c>
      <c r="BE102" s="79" t="str">
        <f>REPLACE(INDEX(GroupVertices[Group],MATCH(Edges[[#This Row],[Vertex 2]],GroupVertices[Vertex],0)),1,1,"")</f>
        <v>9</v>
      </c>
      <c r="BF102" s="49"/>
      <c r="BG102" s="50"/>
      <c r="BH102" s="49"/>
      <c r="BI102" s="50"/>
      <c r="BJ102" s="49"/>
      <c r="BK102" s="50"/>
      <c r="BL102" s="49"/>
      <c r="BM102" s="50"/>
      <c r="BN102" s="49"/>
    </row>
    <row r="103" spans="1:66" ht="15">
      <c r="A103" s="65" t="s">
        <v>292</v>
      </c>
      <c r="B103" s="65" t="s">
        <v>385</v>
      </c>
      <c r="C103" s="66" t="s">
        <v>2815</v>
      </c>
      <c r="D103" s="67">
        <v>3</v>
      </c>
      <c r="E103" s="66" t="s">
        <v>132</v>
      </c>
      <c r="F103" s="69">
        <v>32</v>
      </c>
      <c r="G103" s="66"/>
      <c r="H103" s="70"/>
      <c r="I103" s="71"/>
      <c r="J103" s="71"/>
      <c r="K103" s="35" t="s">
        <v>65</v>
      </c>
      <c r="L103" s="72">
        <v>103</v>
      </c>
      <c r="M103" s="72"/>
      <c r="N103" s="73"/>
      <c r="O103" s="80" t="s">
        <v>406</v>
      </c>
      <c r="P103" s="82">
        <v>44478.10313657407</v>
      </c>
      <c r="Q103" s="80" t="s">
        <v>450</v>
      </c>
      <c r="R103" s="85" t="str">
        <f>HYPERLINK("https://vegnews.com/2021/10/ashton-kutcher-cell-based-meat")</f>
        <v>https://vegnews.com/2021/10/ashton-kutcher-cell-based-meat</v>
      </c>
      <c r="S103" s="80" t="s">
        <v>532</v>
      </c>
      <c r="T103" s="80"/>
      <c r="U103" s="80"/>
      <c r="V103" s="85" t="str">
        <f>HYPERLINK("https://pbs.twimg.com/profile_images/1425616439764037637/-E-nV6_6_normal.jpg")</f>
        <v>https://pbs.twimg.com/profile_images/1425616439764037637/-E-nV6_6_normal.jpg</v>
      </c>
      <c r="W103" s="82">
        <v>44478.10313657407</v>
      </c>
      <c r="X103" s="87">
        <v>44478</v>
      </c>
      <c r="Y103" s="83" t="s">
        <v>628</v>
      </c>
      <c r="Z103" s="85" t="str">
        <f>HYPERLINK("https://twitter.com/ings4palin/status/1446663836543684610")</f>
        <v>https://twitter.com/ings4palin/status/1446663836543684610</v>
      </c>
      <c r="AA103" s="80"/>
      <c r="AB103" s="80"/>
      <c r="AC103" s="83" t="s">
        <v>811</v>
      </c>
      <c r="AD103" s="80"/>
      <c r="AE103" s="80" t="b">
        <v>0</v>
      </c>
      <c r="AF103" s="80">
        <v>2</v>
      </c>
      <c r="AG103" s="83" t="s">
        <v>958</v>
      </c>
      <c r="AH103" s="80" t="b">
        <v>0</v>
      </c>
      <c r="AI103" s="80" t="s">
        <v>967</v>
      </c>
      <c r="AJ103" s="80"/>
      <c r="AK103" s="83" t="s">
        <v>952</v>
      </c>
      <c r="AL103" s="80" t="b">
        <v>0</v>
      </c>
      <c r="AM103" s="80">
        <v>1</v>
      </c>
      <c r="AN103" s="83" t="s">
        <v>952</v>
      </c>
      <c r="AO103" s="83" t="s">
        <v>979</v>
      </c>
      <c r="AP103" s="80" t="b">
        <v>0</v>
      </c>
      <c r="AQ103" s="83" t="s">
        <v>811</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9</v>
      </c>
      <c r="BE103" s="79" t="str">
        <f>REPLACE(INDEX(GroupVertices[Group],MATCH(Edges[[#This Row],[Vertex 2]],GroupVertices[Vertex],0)),1,1,"")</f>
        <v>9</v>
      </c>
      <c r="BF103" s="49"/>
      <c r="BG103" s="50"/>
      <c r="BH103" s="49"/>
      <c r="BI103" s="50"/>
      <c r="BJ103" s="49"/>
      <c r="BK103" s="50"/>
      <c r="BL103" s="49"/>
      <c r="BM103" s="50"/>
      <c r="BN103" s="49"/>
    </row>
    <row r="104" spans="1:66" ht="15">
      <c r="A104" s="65" t="s">
        <v>292</v>
      </c>
      <c r="B104" s="65" t="s">
        <v>386</v>
      </c>
      <c r="C104" s="66" t="s">
        <v>2815</v>
      </c>
      <c r="D104" s="67">
        <v>3</v>
      </c>
      <c r="E104" s="66" t="s">
        <v>132</v>
      </c>
      <c r="F104" s="69">
        <v>32</v>
      </c>
      <c r="G104" s="66"/>
      <c r="H104" s="70"/>
      <c r="I104" s="71"/>
      <c r="J104" s="71"/>
      <c r="K104" s="35" t="s">
        <v>65</v>
      </c>
      <c r="L104" s="72">
        <v>104</v>
      </c>
      <c r="M104" s="72"/>
      <c r="N104" s="73"/>
      <c r="O104" s="80" t="s">
        <v>406</v>
      </c>
      <c r="P104" s="82">
        <v>44478.10313657407</v>
      </c>
      <c r="Q104" s="80" t="s">
        <v>450</v>
      </c>
      <c r="R104" s="85" t="str">
        <f>HYPERLINK("https://vegnews.com/2021/10/ashton-kutcher-cell-based-meat")</f>
        <v>https://vegnews.com/2021/10/ashton-kutcher-cell-based-meat</v>
      </c>
      <c r="S104" s="80" t="s">
        <v>532</v>
      </c>
      <c r="T104" s="80"/>
      <c r="U104" s="80"/>
      <c r="V104" s="85" t="str">
        <f>HYPERLINK("https://pbs.twimg.com/profile_images/1425616439764037637/-E-nV6_6_normal.jpg")</f>
        <v>https://pbs.twimg.com/profile_images/1425616439764037637/-E-nV6_6_normal.jpg</v>
      </c>
      <c r="W104" s="82">
        <v>44478.10313657407</v>
      </c>
      <c r="X104" s="87">
        <v>44478</v>
      </c>
      <c r="Y104" s="83" t="s">
        <v>628</v>
      </c>
      <c r="Z104" s="85" t="str">
        <f>HYPERLINK("https://twitter.com/ings4palin/status/1446663836543684610")</f>
        <v>https://twitter.com/ings4palin/status/1446663836543684610</v>
      </c>
      <c r="AA104" s="80"/>
      <c r="AB104" s="80"/>
      <c r="AC104" s="83" t="s">
        <v>811</v>
      </c>
      <c r="AD104" s="80"/>
      <c r="AE104" s="80" t="b">
        <v>0</v>
      </c>
      <c r="AF104" s="80">
        <v>2</v>
      </c>
      <c r="AG104" s="83" t="s">
        <v>958</v>
      </c>
      <c r="AH104" s="80" t="b">
        <v>0</v>
      </c>
      <c r="AI104" s="80" t="s">
        <v>967</v>
      </c>
      <c r="AJ104" s="80"/>
      <c r="AK104" s="83" t="s">
        <v>952</v>
      </c>
      <c r="AL104" s="80" t="b">
        <v>0</v>
      </c>
      <c r="AM104" s="80">
        <v>1</v>
      </c>
      <c r="AN104" s="83" t="s">
        <v>952</v>
      </c>
      <c r="AO104" s="83" t="s">
        <v>979</v>
      </c>
      <c r="AP104" s="80" t="b">
        <v>0</v>
      </c>
      <c r="AQ104" s="83" t="s">
        <v>811</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9</v>
      </c>
      <c r="BE104" s="79" t="str">
        <f>REPLACE(INDEX(GroupVertices[Group],MATCH(Edges[[#This Row],[Vertex 2]],GroupVertices[Vertex],0)),1,1,"")</f>
        <v>9</v>
      </c>
      <c r="BF104" s="49"/>
      <c r="BG104" s="50"/>
      <c r="BH104" s="49"/>
      <c r="BI104" s="50"/>
      <c r="BJ104" s="49"/>
      <c r="BK104" s="50"/>
      <c r="BL104" s="49"/>
      <c r="BM104" s="50"/>
      <c r="BN104" s="49"/>
    </row>
    <row r="105" spans="1:66" ht="15">
      <c r="A105" s="65" t="s">
        <v>292</v>
      </c>
      <c r="B105" s="65" t="s">
        <v>387</v>
      </c>
      <c r="C105" s="66" t="s">
        <v>2815</v>
      </c>
      <c r="D105" s="67">
        <v>3</v>
      </c>
      <c r="E105" s="66" t="s">
        <v>132</v>
      </c>
      <c r="F105" s="69">
        <v>32</v>
      </c>
      <c r="G105" s="66"/>
      <c r="H105" s="70"/>
      <c r="I105" s="71"/>
      <c r="J105" s="71"/>
      <c r="K105" s="35" t="s">
        <v>65</v>
      </c>
      <c r="L105" s="72">
        <v>105</v>
      </c>
      <c r="M105" s="72"/>
      <c r="N105" s="73"/>
      <c r="O105" s="80" t="s">
        <v>406</v>
      </c>
      <c r="P105" s="82">
        <v>44478.10313657407</v>
      </c>
      <c r="Q105" s="80" t="s">
        <v>450</v>
      </c>
      <c r="R105" s="85" t="str">
        <f>HYPERLINK("https://vegnews.com/2021/10/ashton-kutcher-cell-based-meat")</f>
        <v>https://vegnews.com/2021/10/ashton-kutcher-cell-based-meat</v>
      </c>
      <c r="S105" s="80" t="s">
        <v>532</v>
      </c>
      <c r="T105" s="80"/>
      <c r="U105" s="80"/>
      <c r="V105" s="85" t="str">
        <f>HYPERLINK("https://pbs.twimg.com/profile_images/1425616439764037637/-E-nV6_6_normal.jpg")</f>
        <v>https://pbs.twimg.com/profile_images/1425616439764037637/-E-nV6_6_normal.jpg</v>
      </c>
      <c r="W105" s="82">
        <v>44478.10313657407</v>
      </c>
      <c r="X105" s="87">
        <v>44478</v>
      </c>
      <c r="Y105" s="83" t="s">
        <v>628</v>
      </c>
      <c r="Z105" s="85" t="str">
        <f>HYPERLINK("https://twitter.com/ings4palin/status/1446663836543684610")</f>
        <v>https://twitter.com/ings4palin/status/1446663836543684610</v>
      </c>
      <c r="AA105" s="80"/>
      <c r="AB105" s="80"/>
      <c r="AC105" s="83" t="s">
        <v>811</v>
      </c>
      <c r="AD105" s="80"/>
      <c r="AE105" s="80" t="b">
        <v>0</v>
      </c>
      <c r="AF105" s="80">
        <v>2</v>
      </c>
      <c r="AG105" s="83" t="s">
        <v>958</v>
      </c>
      <c r="AH105" s="80" t="b">
        <v>0</v>
      </c>
      <c r="AI105" s="80" t="s">
        <v>967</v>
      </c>
      <c r="AJ105" s="80"/>
      <c r="AK105" s="83" t="s">
        <v>952</v>
      </c>
      <c r="AL105" s="80" t="b">
        <v>0</v>
      </c>
      <c r="AM105" s="80">
        <v>1</v>
      </c>
      <c r="AN105" s="83" t="s">
        <v>952</v>
      </c>
      <c r="AO105" s="83" t="s">
        <v>979</v>
      </c>
      <c r="AP105" s="80" t="b">
        <v>0</v>
      </c>
      <c r="AQ105" s="83" t="s">
        <v>811</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9</v>
      </c>
      <c r="BE105" s="79" t="str">
        <f>REPLACE(INDEX(GroupVertices[Group],MATCH(Edges[[#This Row],[Vertex 2]],GroupVertices[Vertex],0)),1,1,"")</f>
        <v>9</v>
      </c>
      <c r="BF105" s="49"/>
      <c r="BG105" s="50"/>
      <c r="BH105" s="49"/>
      <c r="BI105" s="50"/>
      <c r="BJ105" s="49"/>
      <c r="BK105" s="50"/>
      <c r="BL105" s="49"/>
      <c r="BM105" s="50"/>
      <c r="BN105" s="49"/>
    </row>
    <row r="106" spans="1:66" ht="15">
      <c r="A106" s="65" t="s">
        <v>292</v>
      </c>
      <c r="B106" s="65" t="s">
        <v>388</v>
      </c>
      <c r="C106" s="66" t="s">
        <v>2815</v>
      </c>
      <c r="D106" s="67">
        <v>3</v>
      </c>
      <c r="E106" s="66" t="s">
        <v>132</v>
      </c>
      <c r="F106" s="69">
        <v>32</v>
      </c>
      <c r="G106" s="66"/>
      <c r="H106" s="70"/>
      <c r="I106" s="71"/>
      <c r="J106" s="71"/>
      <c r="K106" s="35" t="s">
        <v>65</v>
      </c>
      <c r="L106" s="72">
        <v>106</v>
      </c>
      <c r="M106" s="72"/>
      <c r="N106" s="73"/>
      <c r="O106" s="80" t="s">
        <v>409</v>
      </c>
      <c r="P106" s="82">
        <v>44478.10313657407</v>
      </c>
      <c r="Q106" s="80" t="s">
        <v>450</v>
      </c>
      <c r="R106" s="85" t="str">
        <f>HYPERLINK("https://vegnews.com/2021/10/ashton-kutcher-cell-based-meat")</f>
        <v>https://vegnews.com/2021/10/ashton-kutcher-cell-based-meat</v>
      </c>
      <c r="S106" s="80" t="s">
        <v>532</v>
      </c>
      <c r="T106" s="80"/>
      <c r="U106" s="80"/>
      <c r="V106" s="85" t="str">
        <f>HYPERLINK("https://pbs.twimg.com/profile_images/1425616439764037637/-E-nV6_6_normal.jpg")</f>
        <v>https://pbs.twimg.com/profile_images/1425616439764037637/-E-nV6_6_normal.jpg</v>
      </c>
      <c r="W106" s="82">
        <v>44478.10313657407</v>
      </c>
      <c r="X106" s="87">
        <v>44478</v>
      </c>
      <c r="Y106" s="83" t="s">
        <v>628</v>
      </c>
      <c r="Z106" s="85" t="str">
        <f>HYPERLINK("https://twitter.com/ings4palin/status/1446663836543684610")</f>
        <v>https://twitter.com/ings4palin/status/1446663836543684610</v>
      </c>
      <c r="AA106" s="80"/>
      <c r="AB106" s="80"/>
      <c r="AC106" s="83" t="s">
        <v>811</v>
      </c>
      <c r="AD106" s="80"/>
      <c r="AE106" s="80" t="b">
        <v>0</v>
      </c>
      <c r="AF106" s="80">
        <v>2</v>
      </c>
      <c r="AG106" s="83" t="s">
        <v>958</v>
      </c>
      <c r="AH106" s="80" t="b">
        <v>0</v>
      </c>
      <c r="AI106" s="80" t="s">
        <v>967</v>
      </c>
      <c r="AJ106" s="80"/>
      <c r="AK106" s="83" t="s">
        <v>952</v>
      </c>
      <c r="AL106" s="80" t="b">
        <v>0</v>
      </c>
      <c r="AM106" s="80">
        <v>1</v>
      </c>
      <c r="AN106" s="83" t="s">
        <v>952</v>
      </c>
      <c r="AO106" s="83" t="s">
        <v>979</v>
      </c>
      <c r="AP106" s="80" t="b">
        <v>0</v>
      </c>
      <c r="AQ106" s="83" t="s">
        <v>811</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9</v>
      </c>
      <c r="BE106" s="79" t="str">
        <f>REPLACE(INDEX(GroupVertices[Group],MATCH(Edges[[#This Row],[Vertex 2]],GroupVertices[Vertex],0)),1,1,"")</f>
        <v>9</v>
      </c>
      <c r="BF106" s="49">
        <v>1</v>
      </c>
      <c r="BG106" s="50">
        <v>10</v>
      </c>
      <c r="BH106" s="49">
        <v>2</v>
      </c>
      <c r="BI106" s="50">
        <v>20</v>
      </c>
      <c r="BJ106" s="49">
        <v>0</v>
      </c>
      <c r="BK106" s="50">
        <v>0</v>
      </c>
      <c r="BL106" s="49">
        <v>7</v>
      </c>
      <c r="BM106" s="50">
        <v>70</v>
      </c>
      <c r="BN106" s="49">
        <v>10</v>
      </c>
    </row>
    <row r="107" spans="1:66" ht="15">
      <c r="A107" s="65" t="s">
        <v>293</v>
      </c>
      <c r="B107" s="65" t="s">
        <v>389</v>
      </c>
      <c r="C107" s="66" t="s">
        <v>2815</v>
      </c>
      <c r="D107" s="67">
        <v>3</v>
      </c>
      <c r="E107" s="66" t="s">
        <v>132</v>
      </c>
      <c r="F107" s="69">
        <v>32</v>
      </c>
      <c r="G107" s="66"/>
      <c r="H107" s="70"/>
      <c r="I107" s="71"/>
      <c r="J107" s="71"/>
      <c r="K107" s="35" t="s">
        <v>65</v>
      </c>
      <c r="L107" s="72">
        <v>107</v>
      </c>
      <c r="M107" s="72"/>
      <c r="N107" s="73"/>
      <c r="O107" s="80" t="s">
        <v>407</v>
      </c>
      <c r="P107" s="82">
        <v>44478.144953703704</v>
      </c>
      <c r="Q107" s="80" t="s">
        <v>451</v>
      </c>
      <c r="R107" s="85" t="str">
        <f>HYPERLINK("https://www.linkedin.com/pulse/gfis-attempt-dismiss-counter-story-cell-based-meat-paul-wood-ao")</f>
        <v>https://www.linkedin.com/pulse/gfis-attempt-dismiss-counter-story-cell-based-meat-paul-wood-ao</v>
      </c>
      <c r="S107" s="80" t="s">
        <v>522</v>
      </c>
      <c r="T107" s="80"/>
      <c r="U107" s="80"/>
      <c r="V107" s="85" t="str">
        <f>HYPERLINK("https://pbs.twimg.com/profile_images/459261502323568640/VGRFs3QW_normal.jpeg")</f>
        <v>https://pbs.twimg.com/profile_images/459261502323568640/VGRFs3QW_normal.jpeg</v>
      </c>
      <c r="W107" s="82">
        <v>44478.144953703704</v>
      </c>
      <c r="X107" s="87">
        <v>44478</v>
      </c>
      <c r="Y107" s="83" t="s">
        <v>629</v>
      </c>
      <c r="Z107" s="85" t="str">
        <f>HYPERLINK("https://twitter.com/shauncoffey/status/1446678992140918784")</f>
        <v>https://twitter.com/shauncoffey/status/1446678992140918784</v>
      </c>
      <c r="AA107" s="80"/>
      <c r="AB107" s="80"/>
      <c r="AC107" s="83" t="s">
        <v>812</v>
      </c>
      <c r="AD107" s="80"/>
      <c r="AE107" s="80" t="b">
        <v>0</v>
      </c>
      <c r="AF107" s="80">
        <v>0</v>
      </c>
      <c r="AG107" s="83" t="s">
        <v>952</v>
      </c>
      <c r="AH107" s="80" t="b">
        <v>0</v>
      </c>
      <c r="AI107" s="80" t="s">
        <v>967</v>
      </c>
      <c r="AJ107" s="80"/>
      <c r="AK107" s="83" t="s">
        <v>952</v>
      </c>
      <c r="AL107" s="80" t="b">
        <v>0</v>
      </c>
      <c r="AM107" s="80">
        <v>1</v>
      </c>
      <c r="AN107" s="83" t="s">
        <v>827</v>
      </c>
      <c r="AO107" s="83" t="s">
        <v>972</v>
      </c>
      <c r="AP107" s="80" t="b">
        <v>0</v>
      </c>
      <c r="AQ107" s="83" t="s">
        <v>827</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8</v>
      </c>
      <c r="BE107" s="79" t="str">
        <f>REPLACE(INDEX(GroupVertices[Group],MATCH(Edges[[#This Row],[Vertex 2]],GroupVertices[Vertex],0)),1,1,"")</f>
        <v>8</v>
      </c>
      <c r="BF107" s="49"/>
      <c r="BG107" s="50"/>
      <c r="BH107" s="49"/>
      <c r="BI107" s="50"/>
      <c r="BJ107" s="49"/>
      <c r="BK107" s="50"/>
      <c r="BL107" s="49"/>
      <c r="BM107" s="50"/>
      <c r="BN107" s="49"/>
    </row>
    <row r="108" spans="1:66" ht="15">
      <c r="A108" s="65" t="s">
        <v>293</v>
      </c>
      <c r="B108" s="65" t="s">
        <v>307</v>
      </c>
      <c r="C108" s="66" t="s">
        <v>2815</v>
      </c>
      <c r="D108" s="67">
        <v>3</v>
      </c>
      <c r="E108" s="66" t="s">
        <v>132</v>
      </c>
      <c r="F108" s="69">
        <v>32</v>
      </c>
      <c r="G108" s="66"/>
      <c r="H108" s="70"/>
      <c r="I108" s="71"/>
      <c r="J108" s="71"/>
      <c r="K108" s="35" t="s">
        <v>65</v>
      </c>
      <c r="L108" s="72">
        <v>108</v>
      </c>
      <c r="M108" s="72"/>
      <c r="N108" s="73"/>
      <c r="O108" s="80" t="s">
        <v>408</v>
      </c>
      <c r="P108" s="82">
        <v>44478.144953703704</v>
      </c>
      <c r="Q108" s="80" t="s">
        <v>451</v>
      </c>
      <c r="R108" s="85" t="str">
        <f>HYPERLINK("https://www.linkedin.com/pulse/gfis-attempt-dismiss-counter-story-cell-based-meat-paul-wood-ao")</f>
        <v>https://www.linkedin.com/pulse/gfis-attempt-dismiss-counter-story-cell-based-meat-paul-wood-ao</v>
      </c>
      <c r="S108" s="80" t="s">
        <v>522</v>
      </c>
      <c r="T108" s="80"/>
      <c r="U108" s="80"/>
      <c r="V108" s="85" t="str">
        <f>HYPERLINK("https://pbs.twimg.com/profile_images/459261502323568640/VGRFs3QW_normal.jpeg")</f>
        <v>https://pbs.twimg.com/profile_images/459261502323568640/VGRFs3QW_normal.jpeg</v>
      </c>
      <c r="W108" s="82">
        <v>44478.144953703704</v>
      </c>
      <c r="X108" s="87">
        <v>44478</v>
      </c>
      <c r="Y108" s="83" t="s">
        <v>629</v>
      </c>
      <c r="Z108" s="85" t="str">
        <f>HYPERLINK("https://twitter.com/shauncoffey/status/1446678992140918784")</f>
        <v>https://twitter.com/shauncoffey/status/1446678992140918784</v>
      </c>
      <c r="AA108" s="80"/>
      <c r="AB108" s="80"/>
      <c r="AC108" s="83" t="s">
        <v>812</v>
      </c>
      <c r="AD108" s="80"/>
      <c r="AE108" s="80" t="b">
        <v>0</v>
      </c>
      <c r="AF108" s="80">
        <v>0</v>
      </c>
      <c r="AG108" s="83" t="s">
        <v>952</v>
      </c>
      <c r="AH108" s="80" t="b">
        <v>0</v>
      </c>
      <c r="AI108" s="80" t="s">
        <v>967</v>
      </c>
      <c r="AJ108" s="80"/>
      <c r="AK108" s="83" t="s">
        <v>952</v>
      </c>
      <c r="AL108" s="80" t="b">
        <v>0</v>
      </c>
      <c r="AM108" s="80">
        <v>1</v>
      </c>
      <c r="AN108" s="83" t="s">
        <v>827</v>
      </c>
      <c r="AO108" s="83" t="s">
        <v>972</v>
      </c>
      <c r="AP108" s="80" t="b">
        <v>0</v>
      </c>
      <c r="AQ108" s="83" t="s">
        <v>827</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8</v>
      </c>
      <c r="BE108" s="79" t="str">
        <f>REPLACE(INDEX(GroupVertices[Group],MATCH(Edges[[#This Row],[Vertex 2]],GroupVertices[Vertex],0)),1,1,"")</f>
        <v>8</v>
      </c>
      <c r="BF108" s="49">
        <v>0</v>
      </c>
      <c r="BG108" s="50">
        <v>0</v>
      </c>
      <c r="BH108" s="49">
        <v>0</v>
      </c>
      <c r="BI108" s="50">
        <v>0</v>
      </c>
      <c r="BJ108" s="49">
        <v>0</v>
      </c>
      <c r="BK108" s="50">
        <v>0</v>
      </c>
      <c r="BL108" s="49">
        <v>18</v>
      </c>
      <c r="BM108" s="50">
        <v>100</v>
      </c>
      <c r="BN108" s="49">
        <v>18</v>
      </c>
    </row>
    <row r="109" spans="1:66" ht="15">
      <c r="A109" s="65" t="s">
        <v>294</v>
      </c>
      <c r="B109" s="65" t="s">
        <v>377</v>
      </c>
      <c r="C109" s="66" t="s">
        <v>2815</v>
      </c>
      <c r="D109" s="67">
        <v>3</v>
      </c>
      <c r="E109" s="66" t="s">
        <v>132</v>
      </c>
      <c r="F109" s="69">
        <v>32</v>
      </c>
      <c r="G109" s="66"/>
      <c r="H109" s="70"/>
      <c r="I109" s="71"/>
      <c r="J109" s="71"/>
      <c r="K109" s="35" t="s">
        <v>65</v>
      </c>
      <c r="L109" s="72">
        <v>109</v>
      </c>
      <c r="M109" s="72"/>
      <c r="N109" s="73"/>
      <c r="O109" s="80" t="s">
        <v>407</v>
      </c>
      <c r="P109" s="82">
        <v>44478.16715277778</v>
      </c>
      <c r="Q109" s="80" t="s">
        <v>452</v>
      </c>
      <c r="R109" s="85" t="str">
        <f>HYPERLINK("https://econ.trib.al/B6siniM")</f>
        <v>https://econ.trib.al/B6siniM</v>
      </c>
      <c r="S109" s="80" t="s">
        <v>528</v>
      </c>
      <c r="T109" s="80"/>
      <c r="U109" s="80"/>
      <c r="V109" s="85" t="str">
        <f>HYPERLINK("https://pbs.twimg.com/profile_images/1426387832952786947/fGiQPvFE_normal.jpg")</f>
        <v>https://pbs.twimg.com/profile_images/1426387832952786947/fGiQPvFE_normal.jpg</v>
      </c>
      <c r="W109" s="82">
        <v>44478.16715277778</v>
      </c>
      <c r="X109" s="87">
        <v>44478</v>
      </c>
      <c r="Y109" s="83" t="s">
        <v>630</v>
      </c>
      <c r="Z109" s="85" t="str">
        <f>HYPERLINK("https://twitter.com/asimkha02399869/status/1446687037659176962")</f>
        <v>https://twitter.com/asimkha02399869/status/1446687037659176962</v>
      </c>
      <c r="AA109" s="80"/>
      <c r="AB109" s="80"/>
      <c r="AC109" s="83" t="s">
        <v>813</v>
      </c>
      <c r="AD109" s="80"/>
      <c r="AE109" s="80" t="b">
        <v>0</v>
      </c>
      <c r="AF109" s="80">
        <v>0</v>
      </c>
      <c r="AG109" s="83" t="s">
        <v>952</v>
      </c>
      <c r="AH109" s="80" t="b">
        <v>0</v>
      </c>
      <c r="AI109" s="80" t="s">
        <v>967</v>
      </c>
      <c r="AJ109" s="80"/>
      <c r="AK109" s="83" t="s">
        <v>952</v>
      </c>
      <c r="AL109" s="80" t="b">
        <v>0</v>
      </c>
      <c r="AM109" s="80">
        <v>12</v>
      </c>
      <c r="AN109" s="83" t="s">
        <v>895</v>
      </c>
      <c r="AO109" s="83" t="s">
        <v>979</v>
      </c>
      <c r="AP109" s="80" t="b">
        <v>0</v>
      </c>
      <c r="AQ109" s="83" t="s">
        <v>895</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294</v>
      </c>
      <c r="B110" s="65" t="s">
        <v>331</v>
      </c>
      <c r="C110" s="66" t="s">
        <v>2815</v>
      </c>
      <c r="D110" s="67">
        <v>3</v>
      </c>
      <c r="E110" s="66" t="s">
        <v>132</v>
      </c>
      <c r="F110" s="69">
        <v>32</v>
      </c>
      <c r="G110" s="66"/>
      <c r="H110" s="70"/>
      <c r="I110" s="71"/>
      <c r="J110" s="71"/>
      <c r="K110" s="35" t="s">
        <v>65</v>
      </c>
      <c r="L110" s="72">
        <v>110</v>
      </c>
      <c r="M110" s="72"/>
      <c r="N110" s="73"/>
      <c r="O110" s="80" t="s">
        <v>407</v>
      </c>
      <c r="P110" s="82">
        <v>44478.16715277778</v>
      </c>
      <c r="Q110" s="80" t="s">
        <v>452</v>
      </c>
      <c r="R110" s="85" t="str">
        <f>HYPERLINK("https://econ.trib.al/B6siniM")</f>
        <v>https://econ.trib.al/B6siniM</v>
      </c>
      <c r="S110" s="80" t="s">
        <v>528</v>
      </c>
      <c r="T110" s="80"/>
      <c r="U110" s="80"/>
      <c r="V110" s="85" t="str">
        <f>HYPERLINK("https://pbs.twimg.com/profile_images/1426387832952786947/fGiQPvFE_normal.jpg")</f>
        <v>https://pbs.twimg.com/profile_images/1426387832952786947/fGiQPvFE_normal.jpg</v>
      </c>
      <c r="W110" s="82">
        <v>44478.16715277778</v>
      </c>
      <c r="X110" s="87">
        <v>44478</v>
      </c>
      <c r="Y110" s="83" t="s">
        <v>630</v>
      </c>
      <c r="Z110" s="85" t="str">
        <f>HYPERLINK("https://twitter.com/asimkha02399869/status/1446687037659176962")</f>
        <v>https://twitter.com/asimkha02399869/status/1446687037659176962</v>
      </c>
      <c r="AA110" s="80"/>
      <c r="AB110" s="80"/>
      <c r="AC110" s="83" t="s">
        <v>813</v>
      </c>
      <c r="AD110" s="80"/>
      <c r="AE110" s="80" t="b">
        <v>0</v>
      </c>
      <c r="AF110" s="80">
        <v>0</v>
      </c>
      <c r="AG110" s="83" t="s">
        <v>952</v>
      </c>
      <c r="AH110" s="80" t="b">
        <v>0</v>
      </c>
      <c r="AI110" s="80" t="s">
        <v>967</v>
      </c>
      <c r="AJ110" s="80"/>
      <c r="AK110" s="83" t="s">
        <v>952</v>
      </c>
      <c r="AL110" s="80" t="b">
        <v>0</v>
      </c>
      <c r="AM110" s="80">
        <v>12</v>
      </c>
      <c r="AN110" s="83" t="s">
        <v>895</v>
      </c>
      <c r="AO110" s="83" t="s">
        <v>979</v>
      </c>
      <c r="AP110" s="80" t="b">
        <v>0</v>
      </c>
      <c r="AQ110" s="83" t="s">
        <v>895</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294</v>
      </c>
      <c r="B111" s="65" t="s">
        <v>378</v>
      </c>
      <c r="C111" s="66" t="s">
        <v>2815</v>
      </c>
      <c r="D111" s="67">
        <v>3</v>
      </c>
      <c r="E111" s="66" t="s">
        <v>132</v>
      </c>
      <c r="F111" s="69">
        <v>32</v>
      </c>
      <c r="G111" s="66"/>
      <c r="H111" s="70"/>
      <c r="I111" s="71"/>
      <c r="J111" s="71"/>
      <c r="K111" s="35" t="s">
        <v>65</v>
      </c>
      <c r="L111" s="72">
        <v>111</v>
      </c>
      <c r="M111" s="72"/>
      <c r="N111" s="73"/>
      <c r="O111" s="80" t="s">
        <v>407</v>
      </c>
      <c r="P111" s="82">
        <v>44478.16715277778</v>
      </c>
      <c r="Q111" s="80" t="s">
        <v>452</v>
      </c>
      <c r="R111" s="85" t="str">
        <f>HYPERLINK("https://econ.trib.al/B6siniM")</f>
        <v>https://econ.trib.al/B6siniM</v>
      </c>
      <c r="S111" s="80" t="s">
        <v>528</v>
      </c>
      <c r="T111" s="80"/>
      <c r="U111" s="80"/>
      <c r="V111" s="85" t="str">
        <f>HYPERLINK("https://pbs.twimg.com/profile_images/1426387832952786947/fGiQPvFE_normal.jpg")</f>
        <v>https://pbs.twimg.com/profile_images/1426387832952786947/fGiQPvFE_normal.jpg</v>
      </c>
      <c r="W111" s="82">
        <v>44478.16715277778</v>
      </c>
      <c r="X111" s="87">
        <v>44478</v>
      </c>
      <c r="Y111" s="83" t="s">
        <v>630</v>
      </c>
      <c r="Z111" s="85" t="str">
        <f>HYPERLINK("https://twitter.com/asimkha02399869/status/1446687037659176962")</f>
        <v>https://twitter.com/asimkha02399869/status/1446687037659176962</v>
      </c>
      <c r="AA111" s="80"/>
      <c r="AB111" s="80"/>
      <c r="AC111" s="83" t="s">
        <v>813</v>
      </c>
      <c r="AD111" s="80"/>
      <c r="AE111" s="80" t="b">
        <v>0</v>
      </c>
      <c r="AF111" s="80">
        <v>0</v>
      </c>
      <c r="AG111" s="83" t="s">
        <v>952</v>
      </c>
      <c r="AH111" s="80" t="b">
        <v>0</v>
      </c>
      <c r="AI111" s="80" t="s">
        <v>967</v>
      </c>
      <c r="AJ111" s="80"/>
      <c r="AK111" s="83" t="s">
        <v>952</v>
      </c>
      <c r="AL111" s="80" t="b">
        <v>0</v>
      </c>
      <c r="AM111" s="80">
        <v>12</v>
      </c>
      <c r="AN111" s="83" t="s">
        <v>895</v>
      </c>
      <c r="AO111" s="83" t="s">
        <v>979</v>
      </c>
      <c r="AP111" s="80" t="b">
        <v>0</v>
      </c>
      <c r="AQ111" s="83" t="s">
        <v>895</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294</v>
      </c>
      <c r="B112" s="65" t="s">
        <v>342</v>
      </c>
      <c r="C112" s="66" t="s">
        <v>2815</v>
      </c>
      <c r="D112" s="67">
        <v>3</v>
      </c>
      <c r="E112" s="66" t="s">
        <v>132</v>
      </c>
      <c r="F112" s="69">
        <v>32</v>
      </c>
      <c r="G112" s="66"/>
      <c r="H112" s="70"/>
      <c r="I112" s="71"/>
      <c r="J112" s="71"/>
      <c r="K112" s="35" t="s">
        <v>65</v>
      </c>
      <c r="L112" s="72">
        <v>112</v>
      </c>
      <c r="M112" s="72"/>
      <c r="N112" s="73"/>
      <c r="O112" s="80" t="s">
        <v>408</v>
      </c>
      <c r="P112" s="82">
        <v>44478.16715277778</v>
      </c>
      <c r="Q112" s="80" t="s">
        <v>452</v>
      </c>
      <c r="R112" s="85" t="str">
        <f>HYPERLINK("https://econ.trib.al/B6siniM")</f>
        <v>https://econ.trib.al/B6siniM</v>
      </c>
      <c r="S112" s="80" t="s">
        <v>528</v>
      </c>
      <c r="T112" s="80"/>
      <c r="U112" s="80"/>
      <c r="V112" s="85" t="str">
        <f>HYPERLINK("https://pbs.twimg.com/profile_images/1426387832952786947/fGiQPvFE_normal.jpg")</f>
        <v>https://pbs.twimg.com/profile_images/1426387832952786947/fGiQPvFE_normal.jpg</v>
      </c>
      <c r="W112" s="82">
        <v>44478.16715277778</v>
      </c>
      <c r="X112" s="87">
        <v>44478</v>
      </c>
      <c r="Y112" s="83" t="s">
        <v>630</v>
      </c>
      <c r="Z112" s="85" t="str">
        <f>HYPERLINK("https://twitter.com/asimkha02399869/status/1446687037659176962")</f>
        <v>https://twitter.com/asimkha02399869/status/1446687037659176962</v>
      </c>
      <c r="AA112" s="80"/>
      <c r="AB112" s="80"/>
      <c r="AC112" s="83" t="s">
        <v>813</v>
      </c>
      <c r="AD112" s="80"/>
      <c r="AE112" s="80" t="b">
        <v>0</v>
      </c>
      <c r="AF112" s="80">
        <v>0</v>
      </c>
      <c r="AG112" s="83" t="s">
        <v>952</v>
      </c>
      <c r="AH112" s="80" t="b">
        <v>0</v>
      </c>
      <c r="AI112" s="80" t="s">
        <v>967</v>
      </c>
      <c r="AJ112" s="80"/>
      <c r="AK112" s="83" t="s">
        <v>952</v>
      </c>
      <c r="AL112" s="80" t="b">
        <v>0</v>
      </c>
      <c r="AM112" s="80">
        <v>12</v>
      </c>
      <c r="AN112" s="83" t="s">
        <v>895</v>
      </c>
      <c r="AO112" s="83" t="s">
        <v>979</v>
      </c>
      <c r="AP112" s="80" t="b">
        <v>0</v>
      </c>
      <c r="AQ112" s="83" t="s">
        <v>895</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34</v>
      </c>
      <c r="BM112" s="50">
        <v>100</v>
      </c>
      <c r="BN112" s="49">
        <v>34</v>
      </c>
    </row>
    <row r="113" spans="1:66" ht="15">
      <c r="A113" s="65" t="s">
        <v>295</v>
      </c>
      <c r="B113" s="65" t="s">
        <v>377</v>
      </c>
      <c r="C113" s="66" t="s">
        <v>2815</v>
      </c>
      <c r="D113" s="67">
        <v>3</v>
      </c>
      <c r="E113" s="66" t="s">
        <v>132</v>
      </c>
      <c r="F113" s="69">
        <v>32</v>
      </c>
      <c r="G113" s="66"/>
      <c r="H113" s="70"/>
      <c r="I113" s="71"/>
      <c r="J113" s="71"/>
      <c r="K113" s="35" t="s">
        <v>65</v>
      </c>
      <c r="L113" s="72">
        <v>113</v>
      </c>
      <c r="M113" s="72"/>
      <c r="N113" s="73"/>
      <c r="O113" s="80" t="s">
        <v>407</v>
      </c>
      <c r="P113" s="82">
        <v>44478.17269675926</v>
      </c>
      <c r="Q113" s="80" t="s">
        <v>452</v>
      </c>
      <c r="R113" s="85" t="str">
        <f>HYPERLINK("https://econ.trib.al/B6siniM")</f>
        <v>https://econ.trib.al/B6siniM</v>
      </c>
      <c r="S113" s="80" t="s">
        <v>528</v>
      </c>
      <c r="T113" s="80"/>
      <c r="U113" s="80"/>
      <c r="V113" s="85" t="str">
        <f>HYPERLINK("https://pbs.twimg.com/profile_images/3032298004/3383c00ae9195cf8f2d684781486830b_normal.jpeg")</f>
        <v>https://pbs.twimg.com/profile_images/3032298004/3383c00ae9195cf8f2d684781486830b_normal.jpeg</v>
      </c>
      <c r="W113" s="82">
        <v>44478.17269675926</v>
      </c>
      <c r="X113" s="87">
        <v>44478</v>
      </c>
      <c r="Y113" s="83" t="s">
        <v>631</v>
      </c>
      <c r="Z113" s="85" t="str">
        <f>HYPERLINK("https://twitter.com/ksmohamed_sunil/status/1446689047162732548")</f>
        <v>https://twitter.com/ksmohamed_sunil/status/1446689047162732548</v>
      </c>
      <c r="AA113" s="80"/>
      <c r="AB113" s="80"/>
      <c r="AC113" s="83" t="s">
        <v>814</v>
      </c>
      <c r="AD113" s="80"/>
      <c r="AE113" s="80" t="b">
        <v>0</v>
      </c>
      <c r="AF113" s="80">
        <v>0</v>
      </c>
      <c r="AG113" s="83" t="s">
        <v>952</v>
      </c>
      <c r="AH113" s="80" t="b">
        <v>0</v>
      </c>
      <c r="AI113" s="80" t="s">
        <v>967</v>
      </c>
      <c r="AJ113" s="80"/>
      <c r="AK113" s="83" t="s">
        <v>952</v>
      </c>
      <c r="AL113" s="80" t="b">
        <v>0</v>
      </c>
      <c r="AM113" s="80">
        <v>12</v>
      </c>
      <c r="AN113" s="83" t="s">
        <v>895</v>
      </c>
      <c r="AO113" s="83" t="s">
        <v>976</v>
      </c>
      <c r="AP113" s="80" t="b">
        <v>0</v>
      </c>
      <c r="AQ113" s="83" t="s">
        <v>895</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295</v>
      </c>
      <c r="B114" s="65" t="s">
        <v>331</v>
      </c>
      <c r="C114" s="66" t="s">
        <v>2815</v>
      </c>
      <c r="D114" s="67">
        <v>3</v>
      </c>
      <c r="E114" s="66" t="s">
        <v>132</v>
      </c>
      <c r="F114" s="69">
        <v>32</v>
      </c>
      <c r="G114" s="66"/>
      <c r="H114" s="70"/>
      <c r="I114" s="71"/>
      <c r="J114" s="71"/>
      <c r="K114" s="35" t="s">
        <v>65</v>
      </c>
      <c r="L114" s="72">
        <v>114</v>
      </c>
      <c r="M114" s="72"/>
      <c r="N114" s="73"/>
      <c r="O114" s="80" t="s">
        <v>407</v>
      </c>
      <c r="P114" s="82">
        <v>44478.17269675926</v>
      </c>
      <c r="Q114" s="80" t="s">
        <v>452</v>
      </c>
      <c r="R114" s="85" t="str">
        <f>HYPERLINK("https://econ.trib.al/B6siniM")</f>
        <v>https://econ.trib.al/B6siniM</v>
      </c>
      <c r="S114" s="80" t="s">
        <v>528</v>
      </c>
      <c r="T114" s="80"/>
      <c r="U114" s="80"/>
      <c r="V114" s="85" t="str">
        <f>HYPERLINK("https://pbs.twimg.com/profile_images/3032298004/3383c00ae9195cf8f2d684781486830b_normal.jpeg")</f>
        <v>https://pbs.twimg.com/profile_images/3032298004/3383c00ae9195cf8f2d684781486830b_normal.jpeg</v>
      </c>
      <c r="W114" s="82">
        <v>44478.17269675926</v>
      </c>
      <c r="X114" s="87">
        <v>44478</v>
      </c>
      <c r="Y114" s="83" t="s">
        <v>631</v>
      </c>
      <c r="Z114" s="85" t="str">
        <f>HYPERLINK("https://twitter.com/ksmohamed_sunil/status/1446689047162732548")</f>
        <v>https://twitter.com/ksmohamed_sunil/status/1446689047162732548</v>
      </c>
      <c r="AA114" s="80"/>
      <c r="AB114" s="80"/>
      <c r="AC114" s="83" t="s">
        <v>814</v>
      </c>
      <c r="AD114" s="80"/>
      <c r="AE114" s="80" t="b">
        <v>0</v>
      </c>
      <c r="AF114" s="80">
        <v>0</v>
      </c>
      <c r="AG114" s="83" t="s">
        <v>952</v>
      </c>
      <c r="AH114" s="80" t="b">
        <v>0</v>
      </c>
      <c r="AI114" s="80" t="s">
        <v>967</v>
      </c>
      <c r="AJ114" s="80"/>
      <c r="AK114" s="83" t="s">
        <v>952</v>
      </c>
      <c r="AL114" s="80" t="b">
        <v>0</v>
      </c>
      <c r="AM114" s="80">
        <v>12</v>
      </c>
      <c r="AN114" s="83" t="s">
        <v>895</v>
      </c>
      <c r="AO114" s="83" t="s">
        <v>976</v>
      </c>
      <c r="AP114" s="80" t="b">
        <v>0</v>
      </c>
      <c r="AQ114" s="83" t="s">
        <v>895</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295</v>
      </c>
      <c r="B115" s="65" t="s">
        <v>378</v>
      </c>
      <c r="C115" s="66" t="s">
        <v>2815</v>
      </c>
      <c r="D115" s="67">
        <v>3</v>
      </c>
      <c r="E115" s="66" t="s">
        <v>132</v>
      </c>
      <c r="F115" s="69">
        <v>32</v>
      </c>
      <c r="G115" s="66"/>
      <c r="H115" s="70"/>
      <c r="I115" s="71"/>
      <c r="J115" s="71"/>
      <c r="K115" s="35" t="s">
        <v>65</v>
      </c>
      <c r="L115" s="72">
        <v>115</v>
      </c>
      <c r="M115" s="72"/>
      <c r="N115" s="73"/>
      <c r="O115" s="80" t="s">
        <v>407</v>
      </c>
      <c r="P115" s="82">
        <v>44478.17269675926</v>
      </c>
      <c r="Q115" s="80" t="s">
        <v>452</v>
      </c>
      <c r="R115" s="85" t="str">
        <f>HYPERLINK("https://econ.trib.al/B6siniM")</f>
        <v>https://econ.trib.al/B6siniM</v>
      </c>
      <c r="S115" s="80" t="s">
        <v>528</v>
      </c>
      <c r="T115" s="80"/>
      <c r="U115" s="80"/>
      <c r="V115" s="85" t="str">
        <f>HYPERLINK("https://pbs.twimg.com/profile_images/3032298004/3383c00ae9195cf8f2d684781486830b_normal.jpeg")</f>
        <v>https://pbs.twimg.com/profile_images/3032298004/3383c00ae9195cf8f2d684781486830b_normal.jpeg</v>
      </c>
      <c r="W115" s="82">
        <v>44478.17269675926</v>
      </c>
      <c r="X115" s="87">
        <v>44478</v>
      </c>
      <c r="Y115" s="83" t="s">
        <v>631</v>
      </c>
      <c r="Z115" s="85" t="str">
        <f>HYPERLINK("https://twitter.com/ksmohamed_sunil/status/1446689047162732548")</f>
        <v>https://twitter.com/ksmohamed_sunil/status/1446689047162732548</v>
      </c>
      <c r="AA115" s="80"/>
      <c r="AB115" s="80"/>
      <c r="AC115" s="83" t="s">
        <v>814</v>
      </c>
      <c r="AD115" s="80"/>
      <c r="AE115" s="80" t="b">
        <v>0</v>
      </c>
      <c r="AF115" s="80">
        <v>0</v>
      </c>
      <c r="AG115" s="83" t="s">
        <v>952</v>
      </c>
      <c r="AH115" s="80" t="b">
        <v>0</v>
      </c>
      <c r="AI115" s="80" t="s">
        <v>967</v>
      </c>
      <c r="AJ115" s="80"/>
      <c r="AK115" s="83" t="s">
        <v>952</v>
      </c>
      <c r="AL115" s="80" t="b">
        <v>0</v>
      </c>
      <c r="AM115" s="80">
        <v>12</v>
      </c>
      <c r="AN115" s="83" t="s">
        <v>895</v>
      </c>
      <c r="AO115" s="83" t="s">
        <v>976</v>
      </c>
      <c r="AP115" s="80" t="b">
        <v>0</v>
      </c>
      <c r="AQ115" s="83" t="s">
        <v>895</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295</v>
      </c>
      <c r="B116" s="65" t="s">
        <v>342</v>
      </c>
      <c r="C116" s="66" t="s">
        <v>2815</v>
      </c>
      <c r="D116" s="67">
        <v>3</v>
      </c>
      <c r="E116" s="66" t="s">
        <v>132</v>
      </c>
      <c r="F116" s="69">
        <v>32</v>
      </c>
      <c r="G116" s="66"/>
      <c r="H116" s="70"/>
      <c r="I116" s="71"/>
      <c r="J116" s="71"/>
      <c r="K116" s="35" t="s">
        <v>65</v>
      </c>
      <c r="L116" s="72">
        <v>116</v>
      </c>
      <c r="M116" s="72"/>
      <c r="N116" s="73"/>
      <c r="O116" s="80" t="s">
        <v>408</v>
      </c>
      <c r="P116" s="82">
        <v>44478.17269675926</v>
      </c>
      <c r="Q116" s="80" t="s">
        <v>452</v>
      </c>
      <c r="R116" s="85" t="str">
        <f>HYPERLINK("https://econ.trib.al/B6siniM")</f>
        <v>https://econ.trib.al/B6siniM</v>
      </c>
      <c r="S116" s="80" t="s">
        <v>528</v>
      </c>
      <c r="T116" s="80"/>
      <c r="U116" s="80"/>
      <c r="V116" s="85" t="str">
        <f>HYPERLINK("https://pbs.twimg.com/profile_images/3032298004/3383c00ae9195cf8f2d684781486830b_normal.jpeg")</f>
        <v>https://pbs.twimg.com/profile_images/3032298004/3383c00ae9195cf8f2d684781486830b_normal.jpeg</v>
      </c>
      <c r="W116" s="82">
        <v>44478.17269675926</v>
      </c>
      <c r="X116" s="87">
        <v>44478</v>
      </c>
      <c r="Y116" s="83" t="s">
        <v>631</v>
      </c>
      <c r="Z116" s="85" t="str">
        <f>HYPERLINK("https://twitter.com/ksmohamed_sunil/status/1446689047162732548")</f>
        <v>https://twitter.com/ksmohamed_sunil/status/1446689047162732548</v>
      </c>
      <c r="AA116" s="80"/>
      <c r="AB116" s="80"/>
      <c r="AC116" s="83" t="s">
        <v>814</v>
      </c>
      <c r="AD116" s="80"/>
      <c r="AE116" s="80" t="b">
        <v>0</v>
      </c>
      <c r="AF116" s="80">
        <v>0</v>
      </c>
      <c r="AG116" s="83" t="s">
        <v>952</v>
      </c>
      <c r="AH116" s="80" t="b">
        <v>0</v>
      </c>
      <c r="AI116" s="80" t="s">
        <v>967</v>
      </c>
      <c r="AJ116" s="80"/>
      <c r="AK116" s="83" t="s">
        <v>952</v>
      </c>
      <c r="AL116" s="80" t="b">
        <v>0</v>
      </c>
      <c r="AM116" s="80">
        <v>12</v>
      </c>
      <c r="AN116" s="83" t="s">
        <v>895</v>
      </c>
      <c r="AO116" s="83" t="s">
        <v>976</v>
      </c>
      <c r="AP116" s="80" t="b">
        <v>0</v>
      </c>
      <c r="AQ116" s="83" t="s">
        <v>895</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9">
        <v>0</v>
      </c>
      <c r="BG116" s="50">
        <v>0</v>
      </c>
      <c r="BH116" s="49">
        <v>0</v>
      </c>
      <c r="BI116" s="50">
        <v>0</v>
      </c>
      <c r="BJ116" s="49">
        <v>0</v>
      </c>
      <c r="BK116" s="50">
        <v>0</v>
      </c>
      <c r="BL116" s="49">
        <v>34</v>
      </c>
      <c r="BM116" s="50">
        <v>100</v>
      </c>
      <c r="BN116" s="49">
        <v>34</v>
      </c>
    </row>
    <row r="117" spans="1:66" ht="15">
      <c r="A117" s="65" t="s">
        <v>296</v>
      </c>
      <c r="B117" s="65" t="s">
        <v>377</v>
      </c>
      <c r="C117" s="66" t="s">
        <v>2815</v>
      </c>
      <c r="D117" s="67">
        <v>3</v>
      </c>
      <c r="E117" s="66" t="s">
        <v>132</v>
      </c>
      <c r="F117" s="69">
        <v>32</v>
      </c>
      <c r="G117" s="66"/>
      <c r="H117" s="70"/>
      <c r="I117" s="71"/>
      <c r="J117" s="71"/>
      <c r="K117" s="35" t="s">
        <v>65</v>
      </c>
      <c r="L117" s="72">
        <v>117</v>
      </c>
      <c r="M117" s="72"/>
      <c r="N117" s="73"/>
      <c r="O117" s="80" t="s">
        <v>407</v>
      </c>
      <c r="P117" s="82">
        <v>44478.17460648148</v>
      </c>
      <c r="Q117" s="80" t="s">
        <v>452</v>
      </c>
      <c r="R117" s="85" t="str">
        <f>HYPERLINK("https://econ.trib.al/B6siniM")</f>
        <v>https://econ.trib.al/B6siniM</v>
      </c>
      <c r="S117" s="80" t="s">
        <v>528</v>
      </c>
      <c r="T117" s="80"/>
      <c r="U117" s="80"/>
      <c r="V117" s="85" t="str">
        <f>HYPERLINK("https://pbs.twimg.com/profile_images/1444843113990656002/hWT0KNYS_normal.jpg")</f>
        <v>https://pbs.twimg.com/profile_images/1444843113990656002/hWT0KNYS_normal.jpg</v>
      </c>
      <c r="W117" s="82">
        <v>44478.17460648148</v>
      </c>
      <c r="X117" s="87">
        <v>44478</v>
      </c>
      <c r="Y117" s="83" t="s">
        <v>632</v>
      </c>
      <c r="Z117" s="85" t="str">
        <f>HYPERLINK("https://twitter.com/hana_soul_hack/status/1446689739155783682")</f>
        <v>https://twitter.com/hana_soul_hack/status/1446689739155783682</v>
      </c>
      <c r="AA117" s="80"/>
      <c r="AB117" s="80"/>
      <c r="AC117" s="83" t="s">
        <v>815</v>
      </c>
      <c r="AD117" s="80"/>
      <c r="AE117" s="80" t="b">
        <v>0</v>
      </c>
      <c r="AF117" s="80">
        <v>0</v>
      </c>
      <c r="AG117" s="83" t="s">
        <v>952</v>
      </c>
      <c r="AH117" s="80" t="b">
        <v>0</v>
      </c>
      <c r="AI117" s="80" t="s">
        <v>967</v>
      </c>
      <c r="AJ117" s="80"/>
      <c r="AK117" s="83" t="s">
        <v>952</v>
      </c>
      <c r="AL117" s="80" t="b">
        <v>0</v>
      </c>
      <c r="AM117" s="80">
        <v>12</v>
      </c>
      <c r="AN117" s="83" t="s">
        <v>895</v>
      </c>
      <c r="AO117" s="83" t="s">
        <v>979</v>
      </c>
      <c r="AP117" s="80" t="b">
        <v>0</v>
      </c>
      <c r="AQ117" s="83" t="s">
        <v>895</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296</v>
      </c>
      <c r="B118" s="65" t="s">
        <v>331</v>
      </c>
      <c r="C118" s="66" t="s">
        <v>2815</v>
      </c>
      <c r="D118" s="67">
        <v>3</v>
      </c>
      <c r="E118" s="66" t="s">
        <v>132</v>
      </c>
      <c r="F118" s="69">
        <v>32</v>
      </c>
      <c r="G118" s="66"/>
      <c r="H118" s="70"/>
      <c r="I118" s="71"/>
      <c r="J118" s="71"/>
      <c r="K118" s="35" t="s">
        <v>65</v>
      </c>
      <c r="L118" s="72">
        <v>118</v>
      </c>
      <c r="M118" s="72"/>
      <c r="N118" s="73"/>
      <c r="O118" s="80" t="s">
        <v>407</v>
      </c>
      <c r="P118" s="82">
        <v>44478.17460648148</v>
      </c>
      <c r="Q118" s="80" t="s">
        <v>452</v>
      </c>
      <c r="R118" s="85" t="str">
        <f>HYPERLINK("https://econ.trib.al/B6siniM")</f>
        <v>https://econ.trib.al/B6siniM</v>
      </c>
      <c r="S118" s="80" t="s">
        <v>528</v>
      </c>
      <c r="T118" s="80"/>
      <c r="U118" s="80"/>
      <c r="V118" s="85" t="str">
        <f>HYPERLINK("https://pbs.twimg.com/profile_images/1444843113990656002/hWT0KNYS_normal.jpg")</f>
        <v>https://pbs.twimg.com/profile_images/1444843113990656002/hWT0KNYS_normal.jpg</v>
      </c>
      <c r="W118" s="82">
        <v>44478.17460648148</v>
      </c>
      <c r="X118" s="87">
        <v>44478</v>
      </c>
      <c r="Y118" s="83" t="s">
        <v>632</v>
      </c>
      <c r="Z118" s="85" t="str">
        <f>HYPERLINK("https://twitter.com/hana_soul_hack/status/1446689739155783682")</f>
        <v>https://twitter.com/hana_soul_hack/status/1446689739155783682</v>
      </c>
      <c r="AA118" s="80"/>
      <c r="AB118" s="80"/>
      <c r="AC118" s="83" t="s">
        <v>815</v>
      </c>
      <c r="AD118" s="80"/>
      <c r="AE118" s="80" t="b">
        <v>0</v>
      </c>
      <c r="AF118" s="80">
        <v>0</v>
      </c>
      <c r="AG118" s="83" t="s">
        <v>952</v>
      </c>
      <c r="AH118" s="80" t="b">
        <v>0</v>
      </c>
      <c r="AI118" s="80" t="s">
        <v>967</v>
      </c>
      <c r="AJ118" s="80"/>
      <c r="AK118" s="83" t="s">
        <v>952</v>
      </c>
      <c r="AL118" s="80" t="b">
        <v>0</v>
      </c>
      <c r="AM118" s="80">
        <v>12</v>
      </c>
      <c r="AN118" s="83" t="s">
        <v>895</v>
      </c>
      <c r="AO118" s="83" t="s">
        <v>979</v>
      </c>
      <c r="AP118" s="80" t="b">
        <v>0</v>
      </c>
      <c r="AQ118" s="83" t="s">
        <v>895</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296</v>
      </c>
      <c r="B119" s="65" t="s">
        <v>378</v>
      </c>
      <c r="C119" s="66" t="s">
        <v>2815</v>
      </c>
      <c r="D119" s="67">
        <v>3</v>
      </c>
      <c r="E119" s="66" t="s">
        <v>132</v>
      </c>
      <c r="F119" s="69">
        <v>32</v>
      </c>
      <c r="G119" s="66"/>
      <c r="H119" s="70"/>
      <c r="I119" s="71"/>
      <c r="J119" s="71"/>
      <c r="K119" s="35" t="s">
        <v>65</v>
      </c>
      <c r="L119" s="72">
        <v>119</v>
      </c>
      <c r="M119" s="72"/>
      <c r="N119" s="73"/>
      <c r="O119" s="80" t="s">
        <v>407</v>
      </c>
      <c r="P119" s="82">
        <v>44478.17460648148</v>
      </c>
      <c r="Q119" s="80" t="s">
        <v>452</v>
      </c>
      <c r="R119" s="85" t="str">
        <f>HYPERLINK("https://econ.trib.al/B6siniM")</f>
        <v>https://econ.trib.al/B6siniM</v>
      </c>
      <c r="S119" s="80" t="s">
        <v>528</v>
      </c>
      <c r="T119" s="80"/>
      <c r="U119" s="80"/>
      <c r="V119" s="85" t="str">
        <f>HYPERLINK("https://pbs.twimg.com/profile_images/1444843113990656002/hWT0KNYS_normal.jpg")</f>
        <v>https://pbs.twimg.com/profile_images/1444843113990656002/hWT0KNYS_normal.jpg</v>
      </c>
      <c r="W119" s="82">
        <v>44478.17460648148</v>
      </c>
      <c r="X119" s="87">
        <v>44478</v>
      </c>
      <c r="Y119" s="83" t="s">
        <v>632</v>
      </c>
      <c r="Z119" s="85" t="str">
        <f>HYPERLINK("https://twitter.com/hana_soul_hack/status/1446689739155783682")</f>
        <v>https://twitter.com/hana_soul_hack/status/1446689739155783682</v>
      </c>
      <c r="AA119" s="80"/>
      <c r="AB119" s="80"/>
      <c r="AC119" s="83" t="s">
        <v>815</v>
      </c>
      <c r="AD119" s="80"/>
      <c r="AE119" s="80" t="b">
        <v>0</v>
      </c>
      <c r="AF119" s="80">
        <v>0</v>
      </c>
      <c r="AG119" s="83" t="s">
        <v>952</v>
      </c>
      <c r="AH119" s="80" t="b">
        <v>0</v>
      </c>
      <c r="AI119" s="80" t="s">
        <v>967</v>
      </c>
      <c r="AJ119" s="80"/>
      <c r="AK119" s="83" t="s">
        <v>952</v>
      </c>
      <c r="AL119" s="80" t="b">
        <v>0</v>
      </c>
      <c r="AM119" s="80">
        <v>12</v>
      </c>
      <c r="AN119" s="83" t="s">
        <v>895</v>
      </c>
      <c r="AO119" s="83" t="s">
        <v>979</v>
      </c>
      <c r="AP119" s="80" t="b">
        <v>0</v>
      </c>
      <c r="AQ119" s="83" t="s">
        <v>895</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296</v>
      </c>
      <c r="B120" s="65" t="s">
        <v>342</v>
      </c>
      <c r="C120" s="66" t="s">
        <v>2815</v>
      </c>
      <c r="D120" s="67">
        <v>3</v>
      </c>
      <c r="E120" s="66" t="s">
        <v>132</v>
      </c>
      <c r="F120" s="69">
        <v>32</v>
      </c>
      <c r="G120" s="66"/>
      <c r="H120" s="70"/>
      <c r="I120" s="71"/>
      <c r="J120" s="71"/>
      <c r="K120" s="35" t="s">
        <v>65</v>
      </c>
      <c r="L120" s="72">
        <v>120</v>
      </c>
      <c r="M120" s="72"/>
      <c r="N120" s="73"/>
      <c r="O120" s="80" t="s">
        <v>408</v>
      </c>
      <c r="P120" s="82">
        <v>44478.17460648148</v>
      </c>
      <c r="Q120" s="80" t="s">
        <v>452</v>
      </c>
      <c r="R120" s="85" t="str">
        <f>HYPERLINK("https://econ.trib.al/B6siniM")</f>
        <v>https://econ.trib.al/B6siniM</v>
      </c>
      <c r="S120" s="80" t="s">
        <v>528</v>
      </c>
      <c r="T120" s="80"/>
      <c r="U120" s="80"/>
      <c r="V120" s="85" t="str">
        <f>HYPERLINK("https://pbs.twimg.com/profile_images/1444843113990656002/hWT0KNYS_normal.jpg")</f>
        <v>https://pbs.twimg.com/profile_images/1444843113990656002/hWT0KNYS_normal.jpg</v>
      </c>
      <c r="W120" s="82">
        <v>44478.17460648148</v>
      </c>
      <c r="X120" s="87">
        <v>44478</v>
      </c>
      <c r="Y120" s="83" t="s">
        <v>632</v>
      </c>
      <c r="Z120" s="85" t="str">
        <f>HYPERLINK("https://twitter.com/hana_soul_hack/status/1446689739155783682")</f>
        <v>https://twitter.com/hana_soul_hack/status/1446689739155783682</v>
      </c>
      <c r="AA120" s="80"/>
      <c r="AB120" s="80"/>
      <c r="AC120" s="83" t="s">
        <v>815</v>
      </c>
      <c r="AD120" s="80"/>
      <c r="AE120" s="80" t="b">
        <v>0</v>
      </c>
      <c r="AF120" s="80">
        <v>0</v>
      </c>
      <c r="AG120" s="83" t="s">
        <v>952</v>
      </c>
      <c r="AH120" s="80" t="b">
        <v>0</v>
      </c>
      <c r="AI120" s="80" t="s">
        <v>967</v>
      </c>
      <c r="AJ120" s="80"/>
      <c r="AK120" s="83" t="s">
        <v>952</v>
      </c>
      <c r="AL120" s="80" t="b">
        <v>0</v>
      </c>
      <c r="AM120" s="80">
        <v>12</v>
      </c>
      <c r="AN120" s="83" t="s">
        <v>895</v>
      </c>
      <c r="AO120" s="83" t="s">
        <v>979</v>
      </c>
      <c r="AP120" s="80" t="b">
        <v>0</v>
      </c>
      <c r="AQ120" s="83" t="s">
        <v>895</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34</v>
      </c>
      <c r="BM120" s="50">
        <v>100</v>
      </c>
      <c r="BN120" s="49">
        <v>34</v>
      </c>
    </row>
    <row r="121" spans="1:66" ht="15">
      <c r="A121" s="65" t="s">
        <v>297</v>
      </c>
      <c r="B121" s="65" t="s">
        <v>377</v>
      </c>
      <c r="C121" s="66" t="s">
        <v>2815</v>
      </c>
      <c r="D121" s="67">
        <v>3</v>
      </c>
      <c r="E121" s="66" t="s">
        <v>132</v>
      </c>
      <c r="F121" s="69">
        <v>32</v>
      </c>
      <c r="G121" s="66"/>
      <c r="H121" s="70"/>
      <c r="I121" s="71"/>
      <c r="J121" s="71"/>
      <c r="K121" s="35" t="s">
        <v>65</v>
      </c>
      <c r="L121" s="72">
        <v>121</v>
      </c>
      <c r="M121" s="72"/>
      <c r="N121" s="73"/>
      <c r="O121" s="80" t="s">
        <v>407</v>
      </c>
      <c r="P121" s="82">
        <v>44478.180393518516</v>
      </c>
      <c r="Q121" s="80" t="s">
        <v>452</v>
      </c>
      <c r="R121" s="85" t="str">
        <f>HYPERLINK("https://econ.trib.al/B6siniM")</f>
        <v>https://econ.trib.al/B6siniM</v>
      </c>
      <c r="S121" s="80" t="s">
        <v>528</v>
      </c>
      <c r="T121" s="80"/>
      <c r="U121" s="80"/>
      <c r="V121" s="85" t="str">
        <f>HYPERLINK("https://pbs.twimg.com/profile_images/1412907769376747525/W7bLBkKE_normal.jpg")</f>
        <v>https://pbs.twimg.com/profile_images/1412907769376747525/W7bLBkKE_normal.jpg</v>
      </c>
      <c r="W121" s="82">
        <v>44478.180393518516</v>
      </c>
      <c r="X121" s="87">
        <v>44478</v>
      </c>
      <c r="Y121" s="83" t="s">
        <v>633</v>
      </c>
      <c r="Z121" s="85" t="str">
        <f>HYPERLINK("https://twitter.com/travermadondo/status/1446691835334778883")</f>
        <v>https://twitter.com/travermadondo/status/1446691835334778883</v>
      </c>
      <c r="AA121" s="80"/>
      <c r="AB121" s="80"/>
      <c r="AC121" s="83" t="s">
        <v>816</v>
      </c>
      <c r="AD121" s="80"/>
      <c r="AE121" s="80" t="b">
        <v>0</v>
      </c>
      <c r="AF121" s="80">
        <v>0</v>
      </c>
      <c r="AG121" s="83" t="s">
        <v>952</v>
      </c>
      <c r="AH121" s="80" t="b">
        <v>0</v>
      </c>
      <c r="AI121" s="80" t="s">
        <v>967</v>
      </c>
      <c r="AJ121" s="80"/>
      <c r="AK121" s="83" t="s">
        <v>952</v>
      </c>
      <c r="AL121" s="80" t="b">
        <v>0</v>
      </c>
      <c r="AM121" s="80">
        <v>12</v>
      </c>
      <c r="AN121" s="83" t="s">
        <v>895</v>
      </c>
      <c r="AO121" s="83" t="s">
        <v>972</v>
      </c>
      <c r="AP121" s="80" t="b">
        <v>0</v>
      </c>
      <c r="AQ121" s="83" t="s">
        <v>895</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297</v>
      </c>
      <c r="B122" s="65" t="s">
        <v>331</v>
      </c>
      <c r="C122" s="66" t="s">
        <v>2815</v>
      </c>
      <c r="D122" s="67">
        <v>3</v>
      </c>
      <c r="E122" s="66" t="s">
        <v>132</v>
      </c>
      <c r="F122" s="69">
        <v>32</v>
      </c>
      <c r="G122" s="66"/>
      <c r="H122" s="70"/>
      <c r="I122" s="71"/>
      <c r="J122" s="71"/>
      <c r="K122" s="35" t="s">
        <v>65</v>
      </c>
      <c r="L122" s="72">
        <v>122</v>
      </c>
      <c r="M122" s="72"/>
      <c r="N122" s="73"/>
      <c r="O122" s="80" t="s">
        <v>407</v>
      </c>
      <c r="P122" s="82">
        <v>44478.180393518516</v>
      </c>
      <c r="Q122" s="80" t="s">
        <v>452</v>
      </c>
      <c r="R122" s="85" t="str">
        <f>HYPERLINK("https://econ.trib.al/B6siniM")</f>
        <v>https://econ.trib.al/B6siniM</v>
      </c>
      <c r="S122" s="80" t="s">
        <v>528</v>
      </c>
      <c r="T122" s="80"/>
      <c r="U122" s="80"/>
      <c r="V122" s="85" t="str">
        <f>HYPERLINK("https://pbs.twimg.com/profile_images/1412907769376747525/W7bLBkKE_normal.jpg")</f>
        <v>https://pbs.twimg.com/profile_images/1412907769376747525/W7bLBkKE_normal.jpg</v>
      </c>
      <c r="W122" s="82">
        <v>44478.180393518516</v>
      </c>
      <c r="X122" s="87">
        <v>44478</v>
      </c>
      <c r="Y122" s="83" t="s">
        <v>633</v>
      </c>
      <c r="Z122" s="85" t="str">
        <f>HYPERLINK("https://twitter.com/travermadondo/status/1446691835334778883")</f>
        <v>https://twitter.com/travermadondo/status/1446691835334778883</v>
      </c>
      <c r="AA122" s="80"/>
      <c r="AB122" s="80"/>
      <c r="AC122" s="83" t="s">
        <v>816</v>
      </c>
      <c r="AD122" s="80"/>
      <c r="AE122" s="80" t="b">
        <v>0</v>
      </c>
      <c r="AF122" s="80">
        <v>0</v>
      </c>
      <c r="AG122" s="83" t="s">
        <v>952</v>
      </c>
      <c r="AH122" s="80" t="b">
        <v>0</v>
      </c>
      <c r="AI122" s="80" t="s">
        <v>967</v>
      </c>
      <c r="AJ122" s="80"/>
      <c r="AK122" s="83" t="s">
        <v>952</v>
      </c>
      <c r="AL122" s="80" t="b">
        <v>0</v>
      </c>
      <c r="AM122" s="80">
        <v>12</v>
      </c>
      <c r="AN122" s="83" t="s">
        <v>895</v>
      </c>
      <c r="AO122" s="83" t="s">
        <v>972</v>
      </c>
      <c r="AP122" s="80" t="b">
        <v>0</v>
      </c>
      <c r="AQ122" s="83" t="s">
        <v>895</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297</v>
      </c>
      <c r="B123" s="65" t="s">
        <v>378</v>
      </c>
      <c r="C123" s="66" t="s">
        <v>2815</v>
      </c>
      <c r="D123" s="67">
        <v>3</v>
      </c>
      <c r="E123" s="66" t="s">
        <v>132</v>
      </c>
      <c r="F123" s="69">
        <v>32</v>
      </c>
      <c r="G123" s="66"/>
      <c r="H123" s="70"/>
      <c r="I123" s="71"/>
      <c r="J123" s="71"/>
      <c r="K123" s="35" t="s">
        <v>65</v>
      </c>
      <c r="L123" s="72">
        <v>123</v>
      </c>
      <c r="M123" s="72"/>
      <c r="N123" s="73"/>
      <c r="O123" s="80" t="s">
        <v>407</v>
      </c>
      <c r="P123" s="82">
        <v>44478.180393518516</v>
      </c>
      <c r="Q123" s="80" t="s">
        <v>452</v>
      </c>
      <c r="R123" s="85" t="str">
        <f>HYPERLINK("https://econ.trib.al/B6siniM")</f>
        <v>https://econ.trib.al/B6siniM</v>
      </c>
      <c r="S123" s="80" t="s">
        <v>528</v>
      </c>
      <c r="T123" s="80"/>
      <c r="U123" s="80"/>
      <c r="V123" s="85" t="str">
        <f>HYPERLINK("https://pbs.twimg.com/profile_images/1412907769376747525/W7bLBkKE_normal.jpg")</f>
        <v>https://pbs.twimg.com/profile_images/1412907769376747525/W7bLBkKE_normal.jpg</v>
      </c>
      <c r="W123" s="82">
        <v>44478.180393518516</v>
      </c>
      <c r="X123" s="87">
        <v>44478</v>
      </c>
      <c r="Y123" s="83" t="s">
        <v>633</v>
      </c>
      <c r="Z123" s="85" t="str">
        <f>HYPERLINK("https://twitter.com/travermadondo/status/1446691835334778883")</f>
        <v>https://twitter.com/travermadondo/status/1446691835334778883</v>
      </c>
      <c r="AA123" s="80"/>
      <c r="AB123" s="80"/>
      <c r="AC123" s="83" t="s">
        <v>816</v>
      </c>
      <c r="AD123" s="80"/>
      <c r="AE123" s="80" t="b">
        <v>0</v>
      </c>
      <c r="AF123" s="80">
        <v>0</v>
      </c>
      <c r="AG123" s="83" t="s">
        <v>952</v>
      </c>
      <c r="AH123" s="80" t="b">
        <v>0</v>
      </c>
      <c r="AI123" s="80" t="s">
        <v>967</v>
      </c>
      <c r="AJ123" s="80"/>
      <c r="AK123" s="83" t="s">
        <v>952</v>
      </c>
      <c r="AL123" s="80" t="b">
        <v>0</v>
      </c>
      <c r="AM123" s="80">
        <v>12</v>
      </c>
      <c r="AN123" s="83" t="s">
        <v>895</v>
      </c>
      <c r="AO123" s="83" t="s">
        <v>972</v>
      </c>
      <c r="AP123" s="80" t="b">
        <v>0</v>
      </c>
      <c r="AQ123" s="83" t="s">
        <v>895</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297</v>
      </c>
      <c r="B124" s="65" t="s">
        <v>342</v>
      </c>
      <c r="C124" s="66" t="s">
        <v>2815</v>
      </c>
      <c r="D124" s="67">
        <v>3</v>
      </c>
      <c r="E124" s="66" t="s">
        <v>132</v>
      </c>
      <c r="F124" s="69">
        <v>32</v>
      </c>
      <c r="G124" s="66"/>
      <c r="H124" s="70"/>
      <c r="I124" s="71"/>
      <c r="J124" s="71"/>
      <c r="K124" s="35" t="s">
        <v>65</v>
      </c>
      <c r="L124" s="72">
        <v>124</v>
      </c>
      <c r="M124" s="72"/>
      <c r="N124" s="73"/>
      <c r="O124" s="80" t="s">
        <v>408</v>
      </c>
      <c r="P124" s="82">
        <v>44478.180393518516</v>
      </c>
      <c r="Q124" s="80" t="s">
        <v>452</v>
      </c>
      <c r="R124" s="85" t="str">
        <f>HYPERLINK("https://econ.trib.al/B6siniM")</f>
        <v>https://econ.trib.al/B6siniM</v>
      </c>
      <c r="S124" s="80" t="s">
        <v>528</v>
      </c>
      <c r="T124" s="80"/>
      <c r="U124" s="80"/>
      <c r="V124" s="85" t="str">
        <f>HYPERLINK("https://pbs.twimg.com/profile_images/1412907769376747525/W7bLBkKE_normal.jpg")</f>
        <v>https://pbs.twimg.com/profile_images/1412907769376747525/W7bLBkKE_normal.jpg</v>
      </c>
      <c r="W124" s="82">
        <v>44478.180393518516</v>
      </c>
      <c r="X124" s="87">
        <v>44478</v>
      </c>
      <c r="Y124" s="83" t="s">
        <v>633</v>
      </c>
      <c r="Z124" s="85" t="str">
        <f>HYPERLINK("https://twitter.com/travermadondo/status/1446691835334778883")</f>
        <v>https://twitter.com/travermadondo/status/1446691835334778883</v>
      </c>
      <c r="AA124" s="80"/>
      <c r="AB124" s="80"/>
      <c r="AC124" s="83" t="s">
        <v>816</v>
      </c>
      <c r="AD124" s="80"/>
      <c r="AE124" s="80" t="b">
        <v>0</v>
      </c>
      <c r="AF124" s="80">
        <v>0</v>
      </c>
      <c r="AG124" s="83" t="s">
        <v>952</v>
      </c>
      <c r="AH124" s="80" t="b">
        <v>0</v>
      </c>
      <c r="AI124" s="80" t="s">
        <v>967</v>
      </c>
      <c r="AJ124" s="80"/>
      <c r="AK124" s="83" t="s">
        <v>952</v>
      </c>
      <c r="AL124" s="80" t="b">
        <v>0</v>
      </c>
      <c r="AM124" s="80">
        <v>12</v>
      </c>
      <c r="AN124" s="83" t="s">
        <v>895</v>
      </c>
      <c r="AO124" s="83" t="s">
        <v>972</v>
      </c>
      <c r="AP124" s="80" t="b">
        <v>0</v>
      </c>
      <c r="AQ124" s="83" t="s">
        <v>895</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34</v>
      </c>
      <c r="BM124" s="50">
        <v>100</v>
      </c>
      <c r="BN124" s="49">
        <v>34</v>
      </c>
    </row>
    <row r="125" spans="1:66" ht="15">
      <c r="A125" s="65" t="s">
        <v>298</v>
      </c>
      <c r="B125" s="65" t="s">
        <v>328</v>
      </c>
      <c r="C125" s="66" t="s">
        <v>2815</v>
      </c>
      <c r="D125" s="67">
        <v>3</v>
      </c>
      <c r="E125" s="66" t="s">
        <v>132</v>
      </c>
      <c r="F125" s="69">
        <v>32</v>
      </c>
      <c r="G125" s="66"/>
      <c r="H125" s="70"/>
      <c r="I125" s="71"/>
      <c r="J125" s="71"/>
      <c r="K125" s="35" t="s">
        <v>65</v>
      </c>
      <c r="L125" s="72">
        <v>125</v>
      </c>
      <c r="M125" s="72"/>
      <c r="N125" s="73"/>
      <c r="O125" s="80" t="s">
        <v>408</v>
      </c>
      <c r="P125" s="82">
        <v>44478.18577546296</v>
      </c>
      <c r="Q125" s="80" t="s">
        <v>449</v>
      </c>
      <c r="R125" s="85" t="str">
        <f>HYPERLINK("https://www.greenqueen.com.hk/hong-kong-cell-based-meat-study/?ct=t%28OCT+8+2020+INDUSTRY+SCOOP_COPY_01%29")</f>
        <v>https://www.greenqueen.com.hk/hong-kong-cell-based-meat-study/?ct=t%28OCT+8+2020+INDUSTRY+SCOOP_COPY_01%29</v>
      </c>
      <c r="S125" s="80" t="s">
        <v>525</v>
      </c>
      <c r="T125" s="83" t="s">
        <v>557</v>
      </c>
      <c r="U125" s="85" t="str">
        <f>HYPERLINK("https://pbs.twimg.com/media/FBD5ahCUUAYHMaD.jpg")</f>
        <v>https://pbs.twimg.com/media/FBD5ahCUUAYHMaD.jpg</v>
      </c>
      <c r="V125" s="85" t="str">
        <f>HYPERLINK("https://pbs.twimg.com/media/FBD5ahCUUAYHMaD.jpg")</f>
        <v>https://pbs.twimg.com/media/FBD5ahCUUAYHMaD.jpg</v>
      </c>
      <c r="W125" s="82">
        <v>44478.18577546296</v>
      </c>
      <c r="X125" s="87">
        <v>44478</v>
      </c>
      <c r="Y125" s="83" t="s">
        <v>634</v>
      </c>
      <c r="Z125" s="85" t="str">
        <f>HYPERLINK("https://twitter.com/greenassam/status/1446693785547657217")</f>
        <v>https://twitter.com/greenassam/status/1446693785547657217</v>
      </c>
      <c r="AA125" s="80"/>
      <c r="AB125" s="80"/>
      <c r="AC125" s="83" t="s">
        <v>817</v>
      </c>
      <c r="AD125" s="80"/>
      <c r="AE125" s="80" t="b">
        <v>0</v>
      </c>
      <c r="AF125" s="80">
        <v>0</v>
      </c>
      <c r="AG125" s="83" t="s">
        <v>952</v>
      </c>
      <c r="AH125" s="80" t="b">
        <v>0</v>
      </c>
      <c r="AI125" s="80" t="s">
        <v>967</v>
      </c>
      <c r="AJ125" s="80"/>
      <c r="AK125" s="83" t="s">
        <v>952</v>
      </c>
      <c r="AL125" s="80" t="b">
        <v>0</v>
      </c>
      <c r="AM125" s="80">
        <v>3</v>
      </c>
      <c r="AN125" s="83" t="s">
        <v>860</v>
      </c>
      <c r="AO125" s="83" t="s">
        <v>979</v>
      </c>
      <c r="AP125" s="80" t="b">
        <v>0</v>
      </c>
      <c r="AQ125" s="83" t="s">
        <v>860</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12</v>
      </c>
      <c r="BE125" s="79" t="str">
        <f>REPLACE(INDEX(GroupVertices[Group],MATCH(Edges[[#This Row],[Vertex 2]],GroupVertices[Vertex],0)),1,1,"")</f>
        <v>12</v>
      </c>
      <c r="BF125" s="49">
        <v>0</v>
      </c>
      <c r="BG125" s="50">
        <v>0</v>
      </c>
      <c r="BH125" s="49">
        <v>0</v>
      </c>
      <c r="BI125" s="50">
        <v>0</v>
      </c>
      <c r="BJ125" s="49">
        <v>0</v>
      </c>
      <c r="BK125" s="50">
        <v>0</v>
      </c>
      <c r="BL125" s="49">
        <v>12</v>
      </c>
      <c r="BM125" s="50">
        <v>100</v>
      </c>
      <c r="BN125" s="49">
        <v>12</v>
      </c>
    </row>
    <row r="126" spans="1:66" ht="15">
      <c r="A126" s="65" t="s">
        <v>299</v>
      </c>
      <c r="B126" s="65" t="s">
        <v>377</v>
      </c>
      <c r="C126" s="66" t="s">
        <v>2816</v>
      </c>
      <c r="D126" s="67">
        <v>6.5</v>
      </c>
      <c r="E126" s="66" t="s">
        <v>136</v>
      </c>
      <c r="F126" s="69">
        <v>28.75</v>
      </c>
      <c r="G126" s="66"/>
      <c r="H126" s="70"/>
      <c r="I126" s="71"/>
      <c r="J126" s="71"/>
      <c r="K126" s="35" t="s">
        <v>65</v>
      </c>
      <c r="L126" s="72">
        <v>126</v>
      </c>
      <c r="M126" s="72"/>
      <c r="N126" s="73"/>
      <c r="O126" s="80" t="s">
        <v>407</v>
      </c>
      <c r="P126" s="82">
        <v>44476.44332175926</v>
      </c>
      <c r="Q126" s="80" t="s">
        <v>432</v>
      </c>
      <c r="R126" s="85" t="str">
        <f>HYPERLINK("https://econ.trib.al/UuLdSAj")</f>
        <v>https://econ.trib.al/UuLdSAj</v>
      </c>
      <c r="S126" s="80" t="s">
        <v>528</v>
      </c>
      <c r="T126" s="80"/>
      <c r="U126" s="80"/>
      <c r="V126" s="85" t="str">
        <f>HYPERLINK("https://pbs.twimg.com/profile_images/1442898995135729665/9EcK_O4G_normal.jpg")</f>
        <v>https://pbs.twimg.com/profile_images/1442898995135729665/9EcK_O4G_normal.jpg</v>
      </c>
      <c r="W126" s="82">
        <v>44476.44332175926</v>
      </c>
      <c r="X126" s="87">
        <v>44476</v>
      </c>
      <c r="Y126" s="83" t="s">
        <v>635</v>
      </c>
      <c r="Z126" s="85" t="str">
        <f>HYPERLINK("https://twitter.com/georgerowell12/status/1446062340152205314")</f>
        <v>https://twitter.com/georgerowell12/status/1446062340152205314</v>
      </c>
      <c r="AA126" s="80"/>
      <c r="AB126" s="80"/>
      <c r="AC126" s="83" t="s">
        <v>818</v>
      </c>
      <c r="AD126" s="80"/>
      <c r="AE126" s="80" t="b">
        <v>0</v>
      </c>
      <c r="AF126" s="80">
        <v>0</v>
      </c>
      <c r="AG126" s="83" t="s">
        <v>952</v>
      </c>
      <c r="AH126" s="80" t="b">
        <v>0</v>
      </c>
      <c r="AI126" s="80" t="s">
        <v>967</v>
      </c>
      <c r="AJ126" s="80"/>
      <c r="AK126" s="83" t="s">
        <v>952</v>
      </c>
      <c r="AL126" s="80" t="b">
        <v>0</v>
      </c>
      <c r="AM126" s="80">
        <v>11</v>
      </c>
      <c r="AN126" s="83" t="s">
        <v>894</v>
      </c>
      <c r="AO126" s="83" t="s">
        <v>976</v>
      </c>
      <c r="AP126" s="80" t="b">
        <v>0</v>
      </c>
      <c r="AQ126" s="83" t="s">
        <v>894</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299</v>
      </c>
      <c r="B127" s="65" t="s">
        <v>331</v>
      </c>
      <c r="C127" s="66" t="s">
        <v>2816</v>
      </c>
      <c r="D127" s="67">
        <v>6.5</v>
      </c>
      <c r="E127" s="66" t="s">
        <v>136</v>
      </c>
      <c r="F127" s="69">
        <v>28.75</v>
      </c>
      <c r="G127" s="66"/>
      <c r="H127" s="70"/>
      <c r="I127" s="71"/>
      <c r="J127" s="71"/>
      <c r="K127" s="35" t="s">
        <v>65</v>
      </c>
      <c r="L127" s="72">
        <v>127</v>
      </c>
      <c r="M127" s="72"/>
      <c r="N127" s="73"/>
      <c r="O127" s="80" t="s">
        <v>407</v>
      </c>
      <c r="P127" s="82">
        <v>44476.44332175926</v>
      </c>
      <c r="Q127" s="80" t="s">
        <v>432</v>
      </c>
      <c r="R127" s="85" t="str">
        <f>HYPERLINK("https://econ.trib.al/UuLdSAj")</f>
        <v>https://econ.trib.al/UuLdSAj</v>
      </c>
      <c r="S127" s="80" t="s">
        <v>528</v>
      </c>
      <c r="T127" s="80"/>
      <c r="U127" s="80"/>
      <c r="V127" s="85" t="str">
        <f>HYPERLINK("https://pbs.twimg.com/profile_images/1442898995135729665/9EcK_O4G_normal.jpg")</f>
        <v>https://pbs.twimg.com/profile_images/1442898995135729665/9EcK_O4G_normal.jpg</v>
      </c>
      <c r="W127" s="82">
        <v>44476.44332175926</v>
      </c>
      <c r="X127" s="87">
        <v>44476</v>
      </c>
      <c r="Y127" s="83" t="s">
        <v>635</v>
      </c>
      <c r="Z127" s="85" t="str">
        <f>HYPERLINK("https://twitter.com/georgerowell12/status/1446062340152205314")</f>
        <v>https://twitter.com/georgerowell12/status/1446062340152205314</v>
      </c>
      <c r="AA127" s="80"/>
      <c r="AB127" s="80"/>
      <c r="AC127" s="83" t="s">
        <v>818</v>
      </c>
      <c r="AD127" s="80"/>
      <c r="AE127" s="80" t="b">
        <v>0</v>
      </c>
      <c r="AF127" s="80">
        <v>0</v>
      </c>
      <c r="AG127" s="83" t="s">
        <v>952</v>
      </c>
      <c r="AH127" s="80" t="b">
        <v>0</v>
      </c>
      <c r="AI127" s="80" t="s">
        <v>967</v>
      </c>
      <c r="AJ127" s="80"/>
      <c r="AK127" s="83" t="s">
        <v>952</v>
      </c>
      <c r="AL127" s="80" t="b">
        <v>0</v>
      </c>
      <c r="AM127" s="80">
        <v>11</v>
      </c>
      <c r="AN127" s="83" t="s">
        <v>894</v>
      </c>
      <c r="AO127" s="83" t="s">
        <v>976</v>
      </c>
      <c r="AP127" s="80" t="b">
        <v>0</v>
      </c>
      <c r="AQ127" s="83" t="s">
        <v>894</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299</v>
      </c>
      <c r="B128" s="65" t="s">
        <v>378</v>
      </c>
      <c r="C128" s="66" t="s">
        <v>2816</v>
      </c>
      <c r="D128" s="67">
        <v>6.5</v>
      </c>
      <c r="E128" s="66" t="s">
        <v>136</v>
      </c>
      <c r="F128" s="69">
        <v>28.75</v>
      </c>
      <c r="G128" s="66"/>
      <c r="H128" s="70"/>
      <c r="I128" s="71"/>
      <c r="J128" s="71"/>
      <c r="K128" s="35" t="s">
        <v>65</v>
      </c>
      <c r="L128" s="72">
        <v>128</v>
      </c>
      <c r="M128" s="72"/>
      <c r="N128" s="73"/>
      <c r="O128" s="80" t="s">
        <v>407</v>
      </c>
      <c r="P128" s="82">
        <v>44476.44332175926</v>
      </c>
      <c r="Q128" s="80" t="s">
        <v>432</v>
      </c>
      <c r="R128" s="85" t="str">
        <f>HYPERLINK("https://econ.trib.al/UuLdSAj")</f>
        <v>https://econ.trib.al/UuLdSAj</v>
      </c>
      <c r="S128" s="80" t="s">
        <v>528</v>
      </c>
      <c r="T128" s="80"/>
      <c r="U128" s="80"/>
      <c r="V128" s="85" t="str">
        <f>HYPERLINK("https://pbs.twimg.com/profile_images/1442898995135729665/9EcK_O4G_normal.jpg")</f>
        <v>https://pbs.twimg.com/profile_images/1442898995135729665/9EcK_O4G_normal.jpg</v>
      </c>
      <c r="W128" s="82">
        <v>44476.44332175926</v>
      </c>
      <c r="X128" s="87">
        <v>44476</v>
      </c>
      <c r="Y128" s="83" t="s">
        <v>635</v>
      </c>
      <c r="Z128" s="85" t="str">
        <f>HYPERLINK("https://twitter.com/georgerowell12/status/1446062340152205314")</f>
        <v>https://twitter.com/georgerowell12/status/1446062340152205314</v>
      </c>
      <c r="AA128" s="80"/>
      <c r="AB128" s="80"/>
      <c r="AC128" s="83" t="s">
        <v>818</v>
      </c>
      <c r="AD128" s="80"/>
      <c r="AE128" s="80" t="b">
        <v>0</v>
      </c>
      <c r="AF128" s="80">
        <v>0</v>
      </c>
      <c r="AG128" s="83" t="s">
        <v>952</v>
      </c>
      <c r="AH128" s="80" t="b">
        <v>0</v>
      </c>
      <c r="AI128" s="80" t="s">
        <v>967</v>
      </c>
      <c r="AJ128" s="80"/>
      <c r="AK128" s="83" t="s">
        <v>952</v>
      </c>
      <c r="AL128" s="80" t="b">
        <v>0</v>
      </c>
      <c r="AM128" s="80">
        <v>11</v>
      </c>
      <c r="AN128" s="83" t="s">
        <v>894</v>
      </c>
      <c r="AO128" s="83" t="s">
        <v>976</v>
      </c>
      <c r="AP128" s="80" t="b">
        <v>0</v>
      </c>
      <c r="AQ128" s="83" t="s">
        <v>894</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299</v>
      </c>
      <c r="B129" s="65" t="s">
        <v>342</v>
      </c>
      <c r="C129" s="66" t="s">
        <v>2816</v>
      </c>
      <c r="D129" s="67">
        <v>6.5</v>
      </c>
      <c r="E129" s="66" t="s">
        <v>136</v>
      </c>
      <c r="F129" s="69">
        <v>28.75</v>
      </c>
      <c r="G129" s="66"/>
      <c r="H129" s="70"/>
      <c r="I129" s="71"/>
      <c r="J129" s="71"/>
      <c r="K129" s="35" t="s">
        <v>65</v>
      </c>
      <c r="L129" s="72">
        <v>129</v>
      </c>
      <c r="M129" s="72"/>
      <c r="N129" s="73"/>
      <c r="O129" s="80" t="s">
        <v>408</v>
      </c>
      <c r="P129" s="82">
        <v>44476.44332175926</v>
      </c>
      <c r="Q129" s="80" t="s">
        <v>432</v>
      </c>
      <c r="R129" s="85" t="str">
        <f>HYPERLINK("https://econ.trib.al/UuLdSAj")</f>
        <v>https://econ.trib.al/UuLdSAj</v>
      </c>
      <c r="S129" s="80" t="s">
        <v>528</v>
      </c>
      <c r="T129" s="80"/>
      <c r="U129" s="80"/>
      <c r="V129" s="85" t="str">
        <f>HYPERLINK("https://pbs.twimg.com/profile_images/1442898995135729665/9EcK_O4G_normal.jpg")</f>
        <v>https://pbs.twimg.com/profile_images/1442898995135729665/9EcK_O4G_normal.jpg</v>
      </c>
      <c r="W129" s="82">
        <v>44476.44332175926</v>
      </c>
      <c r="X129" s="87">
        <v>44476</v>
      </c>
      <c r="Y129" s="83" t="s">
        <v>635</v>
      </c>
      <c r="Z129" s="85" t="str">
        <f>HYPERLINK("https://twitter.com/georgerowell12/status/1446062340152205314")</f>
        <v>https://twitter.com/georgerowell12/status/1446062340152205314</v>
      </c>
      <c r="AA129" s="80"/>
      <c r="AB129" s="80"/>
      <c r="AC129" s="83" t="s">
        <v>818</v>
      </c>
      <c r="AD129" s="80"/>
      <c r="AE129" s="80" t="b">
        <v>0</v>
      </c>
      <c r="AF129" s="80">
        <v>0</v>
      </c>
      <c r="AG129" s="83" t="s">
        <v>952</v>
      </c>
      <c r="AH129" s="80" t="b">
        <v>0</v>
      </c>
      <c r="AI129" s="80" t="s">
        <v>967</v>
      </c>
      <c r="AJ129" s="80"/>
      <c r="AK129" s="83" t="s">
        <v>952</v>
      </c>
      <c r="AL129" s="80" t="b">
        <v>0</v>
      </c>
      <c r="AM129" s="80">
        <v>11</v>
      </c>
      <c r="AN129" s="83" t="s">
        <v>894</v>
      </c>
      <c r="AO129" s="83" t="s">
        <v>976</v>
      </c>
      <c r="AP129" s="80" t="b">
        <v>0</v>
      </c>
      <c r="AQ129" s="83" t="s">
        <v>894</v>
      </c>
      <c r="AR129" s="80" t="s">
        <v>196</v>
      </c>
      <c r="AS129" s="80">
        <v>0</v>
      </c>
      <c r="AT129" s="80">
        <v>0</v>
      </c>
      <c r="AU129" s="80"/>
      <c r="AV129" s="80"/>
      <c r="AW129" s="80"/>
      <c r="AX129" s="80"/>
      <c r="AY129" s="80"/>
      <c r="AZ129" s="80"/>
      <c r="BA129" s="80"/>
      <c r="BB129" s="80"/>
      <c r="BC129">
        <v>2</v>
      </c>
      <c r="BD129" s="79" t="str">
        <f>REPLACE(INDEX(GroupVertices[Group],MATCH(Edges[[#This Row],[Vertex 1]],GroupVertices[Vertex],0)),1,1,"")</f>
        <v>1</v>
      </c>
      <c r="BE129" s="79" t="str">
        <f>REPLACE(INDEX(GroupVertices[Group],MATCH(Edges[[#This Row],[Vertex 2]],GroupVertices[Vertex],0)),1,1,"")</f>
        <v>1</v>
      </c>
      <c r="BF129" s="49">
        <v>0</v>
      </c>
      <c r="BG129" s="50">
        <v>0</v>
      </c>
      <c r="BH129" s="49">
        <v>0</v>
      </c>
      <c r="BI129" s="50">
        <v>0</v>
      </c>
      <c r="BJ129" s="49">
        <v>0</v>
      </c>
      <c r="BK129" s="50">
        <v>0</v>
      </c>
      <c r="BL129" s="49">
        <v>34</v>
      </c>
      <c r="BM129" s="50">
        <v>100</v>
      </c>
      <c r="BN129" s="49">
        <v>34</v>
      </c>
    </row>
    <row r="130" spans="1:66" ht="15">
      <c r="A130" s="65" t="s">
        <v>299</v>
      </c>
      <c r="B130" s="65" t="s">
        <v>377</v>
      </c>
      <c r="C130" s="66" t="s">
        <v>2816</v>
      </c>
      <c r="D130" s="67">
        <v>6.5</v>
      </c>
      <c r="E130" s="66" t="s">
        <v>136</v>
      </c>
      <c r="F130" s="69">
        <v>28.75</v>
      </c>
      <c r="G130" s="66"/>
      <c r="H130" s="70"/>
      <c r="I130" s="71"/>
      <c r="J130" s="71"/>
      <c r="K130" s="35" t="s">
        <v>65</v>
      </c>
      <c r="L130" s="72">
        <v>130</v>
      </c>
      <c r="M130" s="72"/>
      <c r="N130" s="73"/>
      <c r="O130" s="80" t="s">
        <v>407</v>
      </c>
      <c r="P130" s="82">
        <v>44478.197164351855</v>
      </c>
      <c r="Q130" s="80" t="s">
        <v>452</v>
      </c>
      <c r="R130" s="85" t="str">
        <f>HYPERLINK("https://econ.trib.al/B6siniM")</f>
        <v>https://econ.trib.al/B6siniM</v>
      </c>
      <c r="S130" s="80" t="s">
        <v>528</v>
      </c>
      <c r="T130" s="80"/>
      <c r="U130" s="80"/>
      <c r="V130" s="85" t="str">
        <f>HYPERLINK("https://pbs.twimg.com/profile_images/1442898995135729665/9EcK_O4G_normal.jpg")</f>
        <v>https://pbs.twimg.com/profile_images/1442898995135729665/9EcK_O4G_normal.jpg</v>
      </c>
      <c r="W130" s="82">
        <v>44478.197164351855</v>
      </c>
      <c r="X130" s="87">
        <v>44478</v>
      </c>
      <c r="Y130" s="83" t="s">
        <v>636</v>
      </c>
      <c r="Z130" s="85" t="str">
        <f>HYPERLINK("https://twitter.com/georgerowell12/status/1446697912986218496")</f>
        <v>https://twitter.com/georgerowell12/status/1446697912986218496</v>
      </c>
      <c r="AA130" s="80"/>
      <c r="AB130" s="80"/>
      <c r="AC130" s="83" t="s">
        <v>819</v>
      </c>
      <c r="AD130" s="80"/>
      <c r="AE130" s="80" t="b">
        <v>0</v>
      </c>
      <c r="AF130" s="80">
        <v>0</v>
      </c>
      <c r="AG130" s="83" t="s">
        <v>952</v>
      </c>
      <c r="AH130" s="80" t="b">
        <v>0</v>
      </c>
      <c r="AI130" s="80" t="s">
        <v>967</v>
      </c>
      <c r="AJ130" s="80"/>
      <c r="AK130" s="83" t="s">
        <v>952</v>
      </c>
      <c r="AL130" s="80" t="b">
        <v>0</v>
      </c>
      <c r="AM130" s="80">
        <v>12</v>
      </c>
      <c r="AN130" s="83" t="s">
        <v>895</v>
      </c>
      <c r="AO130" s="83" t="s">
        <v>976</v>
      </c>
      <c r="AP130" s="80" t="b">
        <v>0</v>
      </c>
      <c r="AQ130" s="83" t="s">
        <v>895</v>
      </c>
      <c r="AR130" s="80" t="s">
        <v>196</v>
      </c>
      <c r="AS130" s="80">
        <v>0</v>
      </c>
      <c r="AT130" s="80">
        <v>0</v>
      </c>
      <c r="AU130" s="80"/>
      <c r="AV130" s="80"/>
      <c r="AW130" s="80"/>
      <c r="AX130" s="80"/>
      <c r="AY130" s="80"/>
      <c r="AZ130" s="80"/>
      <c r="BA130" s="80"/>
      <c r="BB130" s="80"/>
      <c r="BC130">
        <v>2</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299</v>
      </c>
      <c r="B131" s="65" t="s">
        <v>331</v>
      </c>
      <c r="C131" s="66" t="s">
        <v>2816</v>
      </c>
      <c r="D131" s="67">
        <v>6.5</v>
      </c>
      <c r="E131" s="66" t="s">
        <v>136</v>
      </c>
      <c r="F131" s="69">
        <v>28.75</v>
      </c>
      <c r="G131" s="66"/>
      <c r="H131" s="70"/>
      <c r="I131" s="71"/>
      <c r="J131" s="71"/>
      <c r="K131" s="35" t="s">
        <v>65</v>
      </c>
      <c r="L131" s="72">
        <v>131</v>
      </c>
      <c r="M131" s="72"/>
      <c r="N131" s="73"/>
      <c r="O131" s="80" t="s">
        <v>407</v>
      </c>
      <c r="P131" s="82">
        <v>44478.197164351855</v>
      </c>
      <c r="Q131" s="80" t="s">
        <v>452</v>
      </c>
      <c r="R131" s="85" t="str">
        <f>HYPERLINK("https://econ.trib.al/B6siniM")</f>
        <v>https://econ.trib.al/B6siniM</v>
      </c>
      <c r="S131" s="80" t="s">
        <v>528</v>
      </c>
      <c r="T131" s="80"/>
      <c r="U131" s="80"/>
      <c r="V131" s="85" t="str">
        <f>HYPERLINK("https://pbs.twimg.com/profile_images/1442898995135729665/9EcK_O4G_normal.jpg")</f>
        <v>https://pbs.twimg.com/profile_images/1442898995135729665/9EcK_O4G_normal.jpg</v>
      </c>
      <c r="W131" s="82">
        <v>44478.197164351855</v>
      </c>
      <c r="X131" s="87">
        <v>44478</v>
      </c>
      <c r="Y131" s="83" t="s">
        <v>636</v>
      </c>
      <c r="Z131" s="85" t="str">
        <f>HYPERLINK("https://twitter.com/georgerowell12/status/1446697912986218496")</f>
        <v>https://twitter.com/georgerowell12/status/1446697912986218496</v>
      </c>
      <c r="AA131" s="80"/>
      <c r="AB131" s="80"/>
      <c r="AC131" s="83" t="s">
        <v>819</v>
      </c>
      <c r="AD131" s="80"/>
      <c r="AE131" s="80" t="b">
        <v>0</v>
      </c>
      <c r="AF131" s="80">
        <v>0</v>
      </c>
      <c r="AG131" s="83" t="s">
        <v>952</v>
      </c>
      <c r="AH131" s="80" t="b">
        <v>0</v>
      </c>
      <c r="AI131" s="80" t="s">
        <v>967</v>
      </c>
      <c r="AJ131" s="80"/>
      <c r="AK131" s="83" t="s">
        <v>952</v>
      </c>
      <c r="AL131" s="80" t="b">
        <v>0</v>
      </c>
      <c r="AM131" s="80">
        <v>12</v>
      </c>
      <c r="AN131" s="83" t="s">
        <v>895</v>
      </c>
      <c r="AO131" s="83" t="s">
        <v>976</v>
      </c>
      <c r="AP131" s="80" t="b">
        <v>0</v>
      </c>
      <c r="AQ131" s="83" t="s">
        <v>895</v>
      </c>
      <c r="AR131" s="80" t="s">
        <v>196</v>
      </c>
      <c r="AS131" s="80">
        <v>0</v>
      </c>
      <c r="AT131" s="80">
        <v>0</v>
      </c>
      <c r="AU131" s="80"/>
      <c r="AV131" s="80"/>
      <c r="AW131" s="80"/>
      <c r="AX131" s="80"/>
      <c r="AY131" s="80"/>
      <c r="AZ131" s="80"/>
      <c r="BA131" s="80"/>
      <c r="BB131" s="80"/>
      <c r="BC131">
        <v>2</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299</v>
      </c>
      <c r="B132" s="65" t="s">
        <v>378</v>
      </c>
      <c r="C132" s="66" t="s">
        <v>2816</v>
      </c>
      <c r="D132" s="67">
        <v>6.5</v>
      </c>
      <c r="E132" s="66" t="s">
        <v>136</v>
      </c>
      <c r="F132" s="69">
        <v>28.75</v>
      </c>
      <c r="G132" s="66"/>
      <c r="H132" s="70"/>
      <c r="I132" s="71"/>
      <c r="J132" s="71"/>
      <c r="K132" s="35" t="s">
        <v>65</v>
      </c>
      <c r="L132" s="72">
        <v>132</v>
      </c>
      <c r="M132" s="72"/>
      <c r="N132" s="73"/>
      <c r="O132" s="80" t="s">
        <v>407</v>
      </c>
      <c r="P132" s="82">
        <v>44478.197164351855</v>
      </c>
      <c r="Q132" s="80" t="s">
        <v>452</v>
      </c>
      <c r="R132" s="85" t="str">
        <f>HYPERLINK("https://econ.trib.al/B6siniM")</f>
        <v>https://econ.trib.al/B6siniM</v>
      </c>
      <c r="S132" s="80" t="s">
        <v>528</v>
      </c>
      <c r="T132" s="80"/>
      <c r="U132" s="80"/>
      <c r="V132" s="85" t="str">
        <f>HYPERLINK("https://pbs.twimg.com/profile_images/1442898995135729665/9EcK_O4G_normal.jpg")</f>
        <v>https://pbs.twimg.com/profile_images/1442898995135729665/9EcK_O4G_normal.jpg</v>
      </c>
      <c r="W132" s="82">
        <v>44478.197164351855</v>
      </c>
      <c r="X132" s="87">
        <v>44478</v>
      </c>
      <c r="Y132" s="83" t="s">
        <v>636</v>
      </c>
      <c r="Z132" s="85" t="str">
        <f>HYPERLINK("https://twitter.com/georgerowell12/status/1446697912986218496")</f>
        <v>https://twitter.com/georgerowell12/status/1446697912986218496</v>
      </c>
      <c r="AA132" s="80"/>
      <c r="AB132" s="80"/>
      <c r="AC132" s="83" t="s">
        <v>819</v>
      </c>
      <c r="AD132" s="80"/>
      <c r="AE132" s="80" t="b">
        <v>0</v>
      </c>
      <c r="AF132" s="80">
        <v>0</v>
      </c>
      <c r="AG132" s="83" t="s">
        <v>952</v>
      </c>
      <c r="AH132" s="80" t="b">
        <v>0</v>
      </c>
      <c r="AI132" s="80" t="s">
        <v>967</v>
      </c>
      <c r="AJ132" s="80"/>
      <c r="AK132" s="83" t="s">
        <v>952</v>
      </c>
      <c r="AL132" s="80" t="b">
        <v>0</v>
      </c>
      <c r="AM132" s="80">
        <v>12</v>
      </c>
      <c r="AN132" s="83" t="s">
        <v>895</v>
      </c>
      <c r="AO132" s="83" t="s">
        <v>976</v>
      </c>
      <c r="AP132" s="80" t="b">
        <v>0</v>
      </c>
      <c r="AQ132" s="83" t="s">
        <v>895</v>
      </c>
      <c r="AR132" s="80" t="s">
        <v>196</v>
      </c>
      <c r="AS132" s="80">
        <v>0</v>
      </c>
      <c r="AT132" s="80">
        <v>0</v>
      </c>
      <c r="AU132" s="80"/>
      <c r="AV132" s="80"/>
      <c r="AW132" s="80"/>
      <c r="AX132" s="80"/>
      <c r="AY132" s="80"/>
      <c r="AZ132" s="80"/>
      <c r="BA132" s="80"/>
      <c r="BB132" s="80"/>
      <c r="BC132">
        <v>2</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299</v>
      </c>
      <c r="B133" s="65" t="s">
        <v>342</v>
      </c>
      <c r="C133" s="66" t="s">
        <v>2816</v>
      </c>
      <c r="D133" s="67">
        <v>6.5</v>
      </c>
      <c r="E133" s="66" t="s">
        <v>136</v>
      </c>
      <c r="F133" s="69">
        <v>28.75</v>
      </c>
      <c r="G133" s="66"/>
      <c r="H133" s="70"/>
      <c r="I133" s="71"/>
      <c r="J133" s="71"/>
      <c r="K133" s="35" t="s">
        <v>65</v>
      </c>
      <c r="L133" s="72">
        <v>133</v>
      </c>
      <c r="M133" s="72"/>
      <c r="N133" s="73"/>
      <c r="O133" s="80" t="s">
        <v>408</v>
      </c>
      <c r="P133" s="82">
        <v>44478.197164351855</v>
      </c>
      <c r="Q133" s="80" t="s">
        <v>452</v>
      </c>
      <c r="R133" s="85" t="str">
        <f>HYPERLINK("https://econ.trib.al/B6siniM")</f>
        <v>https://econ.trib.al/B6siniM</v>
      </c>
      <c r="S133" s="80" t="s">
        <v>528</v>
      </c>
      <c r="T133" s="80"/>
      <c r="U133" s="80"/>
      <c r="V133" s="85" t="str">
        <f>HYPERLINK("https://pbs.twimg.com/profile_images/1442898995135729665/9EcK_O4G_normal.jpg")</f>
        <v>https://pbs.twimg.com/profile_images/1442898995135729665/9EcK_O4G_normal.jpg</v>
      </c>
      <c r="W133" s="82">
        <v>44478.197164351855</v>
      </c>
      <c r="X133" s="87">
        <v>44478</v>
      </c>
      <c r="Y133" s="83" t="s">
        <v>636</v>
      </c>
      <c r="Z133" s="85" t="str">
        <f>HYPERLINK("https://twitter.com/georgerowell12/status/1446697912986218496")</f>
        <v>https://twitter.com/georgerowell12/status/1446697912986218496</v>
      </c>
      <c r="AA133" s="80"/>
      <c r="AB133" s="80"/>
      <c r="AC133" s="83" t="s">
        <v>819</v>
      </c>
      <c r="AD133" s="80"/>
      <c r="AE133" s="80" t="b">
        <v>0</v>
      </c>
      <c r="AF133" s="80">
        <v>0</v>
      </c>
      <c r="AG133" s="83" t="s">
        <v>952</v>
      </c>
      <c r="AH133" s="80" t="b">
        <v>0</v>
      </c>
      <c r="AI133" s="80" t="s">
        <v>967</v>
      </c>
      <c r="AJ133" s="80"/>
      <c r="AK133" s="83" t="s">
        <v>952</v>
      </c>
      <c r="AL133" s="80" t="b">
        <v>0</v>
      </c>
      <c r="AM133" s="80">
        <v>12</v>
      </c>
      <c r="AN133" s="83" t="s">
        <v>895</v>
      </c>
      <c r="AO133" s="83" t="s">
        <v>976</v>
      </c>
      <c r="AP133" s="80" t="b">
        <v>0</v>
      </c>
      <c r="AQ133" s="83" t="s">
        <v>895</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1</v>
      </c>
      <c r="BE133" s="79" t="str">
        <f>REPLACE(INDEX(GroupVertices[Group],MATCH(Edges[[#This Row],[Vertex 2]],GroupVertices[Vertex],0)),1,1,"")</f>
        <v>1</v>
      </c>
      <c r="BF133" s="49">
        <v>0</v>
      </c>
      <c r="BG133" s="50">
        <v>0</v>
      </c>
      <c r="BH133" s="49">
        <v>0</v>
      </c>
      <c r="BI133" s="50">
        <v>0</v>
      </c>
      <c r="BJ133" s="49">
        <v>0</v>
      </c>
      <c r="BK133" s="50">
        <v>0</v>
      </c>
      <c r="BL133" s="49">
        <v>34</v>
      </c>
      <c r="BM133" s="50">
        <v>100</v>
      </c>
      <c r="BN133" s="49">
        <v>34</v>
      </c>
    </row>
    <row r="134" spans="1:66" ht="15">
      <c r="A134" s="65" t="s">
        <v>300</v>
      </c>
      <c r="B134" s="65" t="s">
        <v>377</v>
      </c>
      <c r="C134" s="66" t="s">
        <v>2815</v>
      </c>
      <c r="D134" s="67">
        <v>3</v>
      </c>
      <c r="E134" s="66" t="s">
        <v>132</v>
      </c>
      <c r="F134" s="69">
        <v>32</v>
      </c>
      <c r="G134" s="66"/>
      <c r="H134" s="70"/>
      <c r="I134" s="71"/>
      <c r="J134" s="71"/>
      <c r="K134" s="35" t="s">
        <v>65</v>
      </c>
      <c r="L134" s="72">
        <v>134</v>
      </c>
      <c r="M134" s="72"/>
      <c r="N134" s="73"/>
      <c r="O134" s="80" t="s">
        <v>407</v>
      </c>
      <c r="P134" s="82">
        <v>44478.20721064815</v>
      </c>
      <c r="Q134" s="80" t="s">
        <v>452</v>
      </c>
      <c r="R134" s="85" t="str">
        <f>HYPERLINK("https://econ.trib.al/B6siniM")</f>
        <v>https://econ.trib.al/B6siniM</v>
      </c>
      <c r="S134" s="80" t="s">
        <v>528</v>
      </c>
      <c r="T134" s="80"/>
      <c r="U134" s="80"/>
      <c r="V134" s="85" t="str">
        <f>HYPERLINK("https://abs.twimg.com/sticky/default_profile_images/default_profile_normal.png")</f>
        <v>https://abs.twimg.com/sticky/default_profile_images/default_profile_normal.png</v>
      </c>
      <c r="W134" s="82">
        <v>44478.20721064815</v>
      </c>
      <c r="X134" s="87">
        <v>44478</v>
      </c>
      <c r="Y134" s="83" t="s">
        <v>637</v>
      </c>
      <c r="Z134" s="85" t="str">
        <f>HYPERLINK("https://twitter.com/sadam08499791/status/1446701552593473537")</f>
        <v>https://twitter.com/sadam08499791/status/1446701552593473537</v>
      </c>
      <c r="AA134" s="80"/>
      <c r="AB134" s="80"/>
      <c r="AC134" s="83" t="s">
        <v>820</v>
      </c>
      <c r="AD134" s="80"/>
      <c r="AE134" s="80" t="b">
        <v>0</v>
      </c>
      <c r="AF134" s="80">
        <v>0</v>
      </c>
      <c r="AG134" s="83" t="s">
        <v>952</v>
      </c>
      <c r="AH134" s="80" t="b">
        <v>0</v>
      </c>
      <c r="AI134" s="80" t="s">
        <v>967</v>
      </c>
      <c r="AJ134" s="80"/>
      <c r="AK134" s="83" t="s">
        <v>952</v>
      </c>
      <c r="AL134" s="80" t="b">
        <v>0</v>
      </c>
      <c r="AM134" s="80">
        <v>12</v>
      </c>
      <c r="AN134" s="83" t="s">
        <v>895</v>
      </c>
      <c r="AO134" s="83" t="s">
        <v>979</v>
      </c>
      <c r="AP134" s="80" t="b">
        <v>0</v>
      </c>
      <c r="AQ134" s="83" t="s">
        <v>895</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300</v>
      </c>
      <c r="B135" s="65" t="s">
        <v>331</v>
      </c>
      <c r="C135" s="66" t="s">
        <v>2815</v>
      </c>
      <c r="D135" s="67">
        <v>3</v>
      </c>
      <c r="E135" s="66" t="s">
        <v>132</v>
      </c>
      <c r="F135" s="69">
        <v>32</v>
      </c>
      <c r="G135" s="66"/>
      <c r="H135" s="70"/>
      <c r="I135" s="71"/>
      <c r="J135" s="71"/>
      <c r="K135" s="35" t="s">
        <v>65</v>
      </c>
      <c r="L135" s="72">
        <v>135</v>
      </c>
      <c r="M135" s="72"/>
      <c r="N135" s="73"/>
      <c r="O135" s="80" t="s">
        <v>407</v>
      </c>
      <c r="P135" s="82">
        <v>44478.20721064815</v>
      </c>
      <c r="Q135" s="80" t="s">
        <v>452</v>
      </c>
      <c r="R135" s="85" t="str">
        <f>HYPERLINK("https://econ.trib.al/B6siniM")</f>
        <v>https://econ.trib.al/B6siniM</v>
      </c>
      <c r="S135" s="80" t="s">
        <v>528</v>
      </c>
      <c r="T135" s="80"/>
      <c r="U135" s="80"/>
      <c r="V135" s="85" t="str">
        <f>HYPERLINK("https://abs.twimg.com/sticky/default_profile_images/default_profile_normal.png")</f>
        <v>https://abs.twimg.com/sticky/default_profile_images/default_profile_normal.png</v>
      </c>
      <c r="W135" s="82">
        <v>44478.20721064815</v>
      </c>
      <c r="X135" s="87">
        <v>44478</v>
      </c>
      <c r="Y135" s="83" t="s">
        <v>637</v>
      </c>
      <c r="Z135" s="85" t="str">
        <f>HYPERLINK("https://twitter.com/sadam08499791/status/1446701552593473537")</f>
        <v>https://twitter.com/sadam08499791/status/1446701552593473537</v>
      </c>
      <c r="AA135" s="80"/>
      <c r="AB135" s="80"/>
      <c r="AC135" s="83" t="s">
        <v>820</v>
      </c>
      <c r="AD135" s="80"/>
      <c r="AE135" s="80" t="b">
        <v>0</v>
      </c>
      <c r="AF135" s="80">
        <v>0</v>
      </c>
      <c r="AG135" s="83" t="s">
        <v>952</v>
      </c>
      <c r="AH135" s="80" t="b">
        <v>0</v>
      </c>
      <c r="AI135" s="80" t="s">
        <v>967</v>
      </c>
      <c r="AJ135" s="80"/>
      <c r="AK135" s="83" t="s">
        <v>952</v>
      </c>
      <c r="AL135" s="80" t="b">
        <v>0</v>
      </c>
      <c r="AM135" s="80">
        <v>12</v>
      </c>
      <c r="AN135" s="83" t="s">
        <v>895</v>
      </c>
      <c r="AO135" s="83" t="s">
        <v>979</v>
      </c>
      <c r="AP135" s="80" t="b">
        <v>0</v>
      </c>
      <c r="AQ135" s="83" t="s">
        <v>895</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300</v>
      </c>
      <c r="B136" s="65" t="s">
        <v>378</v>
      </c>
      <c r="C136" s="66" t="s">
        <v>2815</v>
      </c>
      <c r="D136" s="67">
        <v>3</v>
      </c>
      <c r="E136" s="66" t="s">
        <v>132</v>
      </c>
      <c r="F136" s="69">
        <v>32</v>
      </c>
      <c r="G136" s="66"/>
      <c r="H136" s="70"/>
      <c r="I136" s="71"/>
      <c r="J136" s="71"/>
      <c r="K136" s="35" t="s">
        <v>65</v>
      </c>
      <c r="L136" s="72">
        <v>136</v>
      </c>
      <c r="M136" s="72"/>
      <c r="N136" s="73"/>
      <c r="O136" s="80" t="s">
        <v>407</v>
      </c>
      <c r="P136" s="82">
        <v>44478.20721064815</v>
      </c>
      <c r="Q136" s="80" t="s">
        <v>452</v>
      </c>
      <c r="R136" s="85" t="str">
        <f>HYPERLINK("https://econ.trib.al/B6siniM")</f>
        <v>https://econ.trib.al/B6siniM</v>
      </c>
      <c r="S136" s="80" t="s">
        <v>528</v>
      </c>
      <c r="T136" s="80"/>
      <c r="U136" s="80"/>
      <c r="V136" s="85" t="str">
        <f>HYPERLINK("https://abs.twimg.com/sticky/default_profile_images/default_profile_normal.png")</f>
        <v>https://abs.twimg.com/sticky/default_profile_images/default_profile_normal.png</v>
      </c>
      <c r="W136" s="82">
        <v>44478.20721064815</v>
      </c>
      <c r="X136" s="87">
        <v>44478</v>
      </c>
      <c r="Y136" s="83" t="s">
        <v>637</v>
      </c>
      <c r="Z136" s="85" t="str">
        <f>HYPERLINK("https://twitter.com/sadam08499791/status/1446701552593473537")</f>
        <v>https://twitter.com/sadam08499791/status/1446701552593473537</v>
      </c>
      <c r="AA136" s="80"/>
      <c r="AB136" s="80"/>
      <c r="AC136" s="83" t="s">
        <v>820</v>
      </c>
      <c r="AD136" s="80"/>
      <c r="AE136" s="80" t="b">
        <v>0</v>
      </c>
      <c r="AF136" s="80">
        <v>0</v>
      </c>
      <c r="AG136" s="83" t="s">
        <v>952</v>
      </c>
      <c r="AH136" s="80" t="b">
        <v>0</v>
      </c>
      <c r="AI136" s="80" t="s">
        <v>967</v>
      </c>
      <c r="AJ136" s="80"/>
      <c r="AK136" s="83" t="s">
        <v>952</v>
      </c>
      <c r="AL136" s="80" t="b">
        <v>0</v>
      </c>
      <c r="AM136" s="80">
        <v>12</v>
      </c>
      <c r="AN136" s="83" t="s">
        <v>895</v>
      </c>
      <c r="AO136" s="83" t="s">
        <v>979</v>
      </c>
      <c r="AP136" s="80" t="b">
        <v>0</v>
      </c>
      <c r="AQ136" s="83" t="s">
        <v>895</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300</v>
      </c>
      <c r="B137" s="65" t="s">
        <v>342</v>
      </c>
      <c r="C137" s="66" t="s">
        <v>2815</v>
      </c>
      <c r="D137" s="67">
        <v>3</v>
      </c>
      <c r="E137" s="66" t="s">
        <v>132</v>
      </c>
      <c r="F137" s="69">
        <v>32</v>
      </c>
      <c r="G137" s="66"/>
      <c r="H137" s="70"/>
      <c r="I137" s="71"/>
      <c r="J137" s="71"/>
      <c r="K137" s="35" t="s">
        <v>65</v>
      </c>
      <c r="L137" s="72">
        <v>137</v>
      </c>
      <c r="M137" s="72"/>
      <c r="N137" s="73"/>
      <c r="O137" s="80" t="s">
        <v>408</v>
      </c>
      <c r="P137" s="82">
        <v>44478.20721064815</v>
      </c>
      <c r="Q137" s="80" t="s">
        <v>452</v>
      </c>
      <c r="R137" s="85" t="str">
        <f>HYPERLINK("https://econ.trib.al/B6siniM")</f>
        <v>https://econ.trib.al/B6siniM</v>
      </c>
      <c r="S137" s="80" t="s">
        <v>528</v>
      </c>
      <c r="T137" s="80"/>
      <c r="U137" s="80"/>
      <c r="V137" s="85" t="str">
        <f>HYPERLINK("https://abs.twimg.com/sticky/default_profile_images/default_profile_normal.png")</f>
        <v>https://abs.twimg.com/sticky/default_profile_images/default_profile_normal.png</v>
      </c>
      <c r="W137" s="82">
        <v>44478.20721064815</v>
      </c>
      <c r="X137" s="87">
        <v>44478</v>
      </c>
      <c r="Y137" s="83" t="s">
        <v>637</v>
      </c>
      <c r="Z137" s="85" t="str">
        <f>HYPERLINK("https://twitter.com/sadam08499791/status/1446701552593473537")</f>
        <v>https://twitter.com/sadam08499791/status/1446701552593473537</v>
      </c>
      <c r="AA137" s="80"/>
      <c r="AB137" s="80"/>
      <c r="AC137" s="83" t="s">
        <v>820</v>
      </c>
      <c r="AD137" s="80"/>
      <c r="AE137" s="80" t="b">
        <v>0</v>
      </c>
      <c r="AF137" s="80">
        <v>0</v>
      </c>
      <c r="AG137" s="83" t="s">
        <v>952</v>
      </c>
      <c r="AH137" s="80" t="b">
        <v>0</v>
      </c>
      <c r="AI137" s="80" t="s">
        <v>967</v>
      </c>
      <c r="AJ137" s="80"/>
      <c r="AK137" s="83" t="s">
        <v>952</v>
      </c>
      <c r="AL137" s="80" t="b">
        <v>0</v>
      </c>
      <c r="AM137" s="80">
        <v>12</v>
      </c>
      <c r="AN137" s="83" t="s">
        <v>895</v>
      </c>
      <c r="AO137" s="83" t="s">
        <v>979</v>
      </c>
      <c r="AP137" s="80" t="b">
        <v>0</v>
      </c>
      <c r="AQ137" s="83" t="s">
        <v>895</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9">
        <v>0</v>
      </c>
      <c r="BG137" s="50">
        <v>0</v>
      </c>
      <c r="BH137" s="49">
        <v>0</v>
      </c>
      <c r="BI137" s="50">
        <v>0</v>
      </c>
      <c r="BJ137" s="49">
        <v>0</v>
      </c>
      <c r="BK137" s="50">
        <v>0</v>
      </c>
      <c r="BL137" s="49">
        <v>34</v>
      </c>
      <c r="BM137" s="50">
        <v>100</v>
      </c>
      <c r="BN137" s="49">
        <v>34</v>
      </c>
    </row>
    <row r="138" spans="1:66" ht="15">
      <c r="A138" s="65" t="s">
        <v>301</v>
      </c>
      <c r="B138" s="65" t="s">
        <v>377</v>
      </c>
      <c r="C138" s="66" t="s">
        <v>2815</v>
      </c>
      <c r="D138" s="67">
        <v>3</v>
      </c>
      <c r="E138" s="66" t="s">
        <v>132</v>
      </c>
      <c r="F138" s="69">
        <v>32</v>
      </c>
      <c r="G138" s="66"/>
      <c r="H138" s="70"/>
      <c r="I138" s="71"/>
      <c r="J138" s="71"/>
      <c r="K138" s="35" t="s">
        <v>65</v>
      </c>
      <c r="L138" s="72">
        <v>138</v>
      </c>
      <c r="M138" s="72"/>
      <c r="N138" s="73"/>
      <c r="O138" s="80" t="s">
        <v>407</v>
      </c>
      <c r="P138" s="82">
        <v>44478.32278935185</v>
      </c>
      <c r="Q138" s="80" t="s">
        <v>452</v>
      </c>
      <c r="R138" s="85" t="str">
        <f>HYPERLINK("https://econ.trib.al/B6siniM")</f>
        <v>https://econ.trib.al/B6siniM</v>
      </c>
      <c r="S138" s="80" t="s">
        <v>528</v>
      </c>
      <c r="T138" s="80"/>
      <c r="U138" s="80"/>
      <c r="V138" s="85" t="str">
        <f>HYPERLINK("https://pbs.twimg.com/profile_images/1276126604767506432/v5TAI32z_normal.jpg")</f>
        <v>https://pbs.twimg.com/profile_images/1276126604767506432/v5TAI32z_normal.jpg</v>
      </c>
      <c r="W138" s="82">
        <v>44478.32278935185</v>
      </c>
      <c r="X138" s="87">
        <v>44478</v>
      </c>
      <c r="Y138" s="83" t="s">
        <v>638</v>
      </c>
      <c r="Z138" s="85" t="str">
        <f>HYPERLINK("https://twitter.com/orbitalgardens/status/1446743439819816960")</f>
        <v>https://twitter.com/orbitalgardens/status/1446743439819816960</v>
      </c>
      <c r="AA138" s="80"/>
      <c r="AB138" s="80"/>
      <c r="AC138" s="83" t="s">
        <v>821</v>
      </c>
      <c r="AD138" s="80"/>
      <c r="AE138" s="80" t="b">
        <v>0</v>
      </c>
      <c r="AF138" s="80">
        <v>0</v>
      </c>
      <c r="AG138" s="83" t="s">
        <v>952</v>
      </c>
      <c r="AH138" s="80" t="b">
        <v>0</v>
      </c>
      <c r="AI138" s="80" t="s">
        <v>967</v>
      </c>
      <c r="AJ138" s="80"/>
      <c r="AK138" s="83" t="s">
        <v>952</v>
      </c>
      <c r="AL138" s="80" t="b">
        <v>0</v>
      </c>
      <c r="AM138" s="80">
        <v>12</v>
      </c>
      <c r="AN138" s="83" t="s">
        <v>895</v>
      </c>
      <c r="AO138" s="83" t="s">
        <v>972</v>
      </c>
      <c r="AP138" s="80" t="b">
        <v>0</v>
      </c>
      <c r="AQ138" s="83" t="s">
        <v>895</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301</v>
      </c>
      <c r="B139" s="65" t="s">
        <v>331</v>
      </c>
      <c r="C139" s="66" t="s">
        <v>2815</v>
      </c>
      <c r="D139" s="67">
        <v>3</v>
      </c>
      <c r="E139" s="66" t="s">
        <v>132</v>
      </c>
      <c r="F139" s="69">
        <v>32</v>
      </c>
      <c r="G139" s="66"/>
      <c r="H139" s="70"/>
      <c r="I139" s="71"/>
      <c r="J139" s="71"/>
      <c r="K139" s="35" t="s">
        <v>65</v>
      </c>
      <c r="L139" s="72">
        <v>139</v>
      </c>
      <c r="M139" s="72"/>
      <c r="N139" s="73"/>
      <c r="O139" s="80" t="s">
        <v>407</v>
      </c>
      <c r="P139" s="82">
        <v>44478.32278935185</v>
      </c>
      <c r="Q139" s="80" t="s">
        <v>452</v>
      </c>
      <c r="R139" s="85" t="str">
        <f>HYPERLINK("https://econ.trib.al/B6siniM")</f>
        <v>https://econ.trib.al/B6siniM</v>
      </c>
      <c r="S139" s="80" t="s">
        <v>528</v>
      </c>
      <c r="T139" s="80"/>
      <c r="U139" s="80"/>
      <c r="V139" s="85" t="str">
        <f>HYPERLINK("https://pbs.twimg.com/profile_images/1276126604767506432/v5TAI32z_normal.jpg")</f>
        <v>https://pbs.twimg.com/profile_images/1276126604767506432/v5TAI32z_normal.jpg</v>
      </c>
      <c r="W139" s="82">
        <v>44478.32278935185</v>
      </c>
      <c r="X139" s="87">
        <v>44478</v>
      </c>
      <c r="Y139" s="83" t="s">
        <v>638</v>
      </c>
      <c r="Z139" s="85" t="str">
        <f>HYPERLINK("https://twitter.com/orbitalgardens/status/1446743439819816960")</f>
        <v>https://twitter.com/orbitalgardens/status/1446743439819816960</v>
      </c>
      <c r="AA139" s="80"/>
      <c r="AB139" s="80"/>
      <c r="AC139" s="83" t="s">
        <v>821</v>
      </c>
      <c r="AD139" s="80"/>
      <c r="AE139" s="80" t="b">
        <v>0</v>
      </c>
      <c r="AF139" s="80">
        <v>0</v>
      </c>
      <c r="AG139" s="83" t="s">
        <v>952</v>
      </c>
      <c r="AH139" s="80" t="b">
        <v>0</v>
      </c>
      <c r="AI139" s="80" t="s">
        <v>967</v>
      </c>
      <c r="AJ139" s="80"/>
      <c r="AK139" s="83" t="s">
        <v>952</v>
      </c>
      <c r="AL139" s="80" t="b">
        <v>0</v>
      </c>
      <c r="AM139" s="80">
        <v>12</v>
      </c>
      <c r="AN139" s="83" t="s">
        <v>895</v>
      </c>
      <c r="AO139" s="83" t="s">
        <v>972</v>
      </c>
      <c r="AP139" s="80" t="b">
        <v>0</v>
      </c>
      <c r="AQ139" s="83" t="s">
        <v>895</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301</v>
      </c>
      <c r="B140" s="65" t="s">
        <v>378</v>
      </c>
      <c r="C140" s="66" t="s">
        <v>2815</v>
      </c>
      <c r="D140" s="67">
        <v>3</v>
      </c>
      <c r="E140" s="66" t="s">
        <v>132</v>
      </c>
      <c r="F140" s="69">
        <v>32</v>
      </c>
      <c r="G140" s="66"/>
      <c r="H140" s="70"/>
      <c r="I140" s="71"/>
      <c r="J140" s="71"/>
      <c r="K140" s="35" t="s">
        <v>65</v>
      </c>
      <c r="L140" s="72">
        <v>140</v>
      </c>
      <c r="M140" s="72"/>
      <c r="N140" s="73"/>
      <c r="O140" s="80" t="s">
        <v>407</v>
      </c>
      <c r="P140" s="82">
        <v>44478.32278935185</v>
      </c>
      <c r="Q140" s="80" t="s">
        <v>452</v>
      </c>
      <c r="R140" s="85" t="str">
        <f>HYPERLINK("https://econ.trib.al/B6siniM")</f>
        <v>https://econ.trib.al/B6siniM</v>
      </c>
      <c r="S140" s="80" t="s">
        <v>528</v>
      </c>
      <c r="T140" s="80"/>
      <c r="U140" s="80"/>
      <c r="V140" s="85" t="str">
        <f>HYPERLINK("https://pbs.twimg.com/profile_images/1276126604767506432/v5TAI32z_normal.jpg")</f>
        <v>https://pbs.twimg.com/profile_images/1276126604767506432/v5TAI32z_normal.jpg</v>
      </c>
      <c r="W140" s="82">
        <v>44478.32278935185</v>
      </c>
      <c r="X140" s="87">
        <v>44478</v>
      </c>
      <c r="Y140" s="83" t="s">
        <v>638</v>
      </c>
      <c r="Z140" s="85" t="str">
        <f>HYPERLINK("https://twitter.com/orbitalgardens/status/1446743439819816960")</f>
        <v>https://twitter.com/orbitalgardens/status/1446743439819816960</v>
      </c>
      <c r="AA140" s="80"/>
      <c r="AB140" s="80"/>
      <c r="AC140" s="83" t="s">
        <v>821</v>
      </c>
      <c r="AD140" s="80"/>
      <c r="AE140" s="80" t="b">
        <v>0</v>
      </c>
      <c r="AF140" s="80">
        <v>0</v>
      </c>
      <c r="AG140" s="83" t="s">
        <v>952</v>
      </c>
      <c r="AH140" s="80" t="b">
        <v>0</v>
      </c>
      <c r="AI140" s="80" t="s">
        <v>967</v>
      </c>
      <c r="AJ140" s="80"/>
      <c r="AK140" s="83" t="s">
        <v>952</v>
      </c>
      <c r="AL140" s="80" t="b">
        <v>0</v>
      </c>
      <c r="AM140" s="80">
        <v>12</v>
      </c>
      <c r="AN140" s="83" t="s">
        <v>895</v>
      </c>
      <c r="AO140" s="83" t="s">
        <v>972</v>
      </c>
      <c r="AP140" s="80" t="b">
        <v>0</v>
      </c>
      <c r="AQ140" s="83" t="s">
        <v>895</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301</v>
      </c>
      <c r="B141" s="65" t="s">
        <v>342</v>
      </c>
      <c r="C141" s="66" t="s">
        <v>2815</v>
      </c>
      <c r="D141" s="67">
        <v>3</v>
      </c>
      <c r="E141" s="66" t="s">
        <v>132</v>
      </c>
      <c r="F141" s="69">
        <v>32</v>
      </c>
      <c r="G141" s="66"/>
      <c r="H141" s="70"/>
      <c r="I141" s="71"/>
      <c r="J141" s="71"/>
      <c r="K141" s="35" t="s">
        <v>65</v>
      </c>
      <c r="L141" s="72">
        <v>141</v>
      </c>
      <c r="M141" s="72"/>
      <c r="N141" s="73"/>
      <c r="O141" s="80" t="s">
        <v>408</v>
      </c>
      <c r="P141" s="82">
        <v>44478.32278935185</v>
      </c>
      <c r="Q141" s="80" t="s">
        <v>452</v>
      </c>
      <c r="R141" s="85" t="str">
        <f>HYPERLINK("https://econ.trib.al/B6siniM")</f>
        <v>https://econ.trib.al/B6siniM</v>
      </c>
      <c r="S141" s="80" t="s">
        <v>528</v>
      </c>
      <c r="T141" s="80"/>
      <c r="U141" s="80"/>
      <c r="V141" s="85" t="str">
        <f>HYPERLINK("https://pbs.twimg.com/profile_images/1276126604767506432/v5TAI32z_normal.jpg")</f>
        <v>https://pbs.twimg.com/profile_images/1276126604767506432/v5TAI32z_normal.jpg</v>
      </c>
      <c r="W141" s="82">
        <v>44478.32278935185</v>
      </c>
      <c r="X141" s="87">
        <v>44478</v>
      </c>
      <c r="Y141" s="83" t="s">
        <v>638</v>
      </c>
      <c r="Z141" s="85" t="str">
        <f>HYPERLINK("https://twitter.com/orbitalgardens/status/1446743439819816960")</f>
        <v>https://twitter.com/orbitalgardens/status/1446743439819816960</v>
      </c>
      <c r="AA141" s="80"/>
      <c r="AB141" s="80"/>
      <c r="AC141" s="83" t="s">
        <v>821</v>
      </c>
      <c r="AD141" s="80"/>
      <c r="AE141" s="80" t="b">
        <v>0</v>
      </c>
      <c r="AF141" s="80">
        <v>0</v>
      </c>
      <c r="AG141" s="83" t="s">
        <v>952</v>
      </c>
      <c r="AH141" s="80" t="b">
        <v>0</v>
      </c>
      <c r="AI141" s="80" t="s">
        <v>967</v>
      </c>
      <c r="AJ141" s="80"/>
      <c r="AK141" s="83" t="s">
        <v>952</v>
      </c>
      <c r="AL141" s="80" t="b">
        <v>0</v>
      </c>
      <c r="AM141" s="80">
        <v>12</v>
      </c>
      <c r="AN141" s="83" t="s">
        <v>895</v>
      </c>
      <c r="AO141" s="83" t="s">
        <v>972</v>
      </c>
      <c r="AP141" s="80" t="b">
        <v>0</v>
      </c>
      <c r="AQ141" s="83" t="s">
        <v>895</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34</v>
      </c>
      <c r="BM141" s="50">
        <v>100</v>
      </c>
      <c r="BN141" s="49">
        <v>34</v>
      </c>
    </row>
    <row r="142" spans="1:66" ht="15">
      <c r="A142" s="65" t="s">
        <v>302</v>
      </c>
      <c r="B142" s="65" t="s">
        <v>377</v>
      </c>
      <c r="C142" s="66" t="s">
        <v>2815</v>
      </c>
      <c r="D142" s="67">
        <v>3</v>
      </c>
      <c r="E142" s="66" t="s">
        <v>132</v>
      </c>
      <c r="F142" s="69">
        <v>32</v>
      </c>
      <c r="G142" s="66"/>
      <c r="H142" s="70"/>
      <c r="I142" s="71"/>
      <c r="J142" s="71"/>
      <c r="K142" s="35" t="s">
        <v>65</v>
      </c>
      <c r="L142" s="72">
        <v>142</v>
      </c>
      <c r="M142" s="72"/>
      <c r="N142" s="73"/>
      <c r="O142" s="80" t="s">
        <v>407</v>
      </c>
      <c r="P142" s="82">
        <v>44478.33728009259</v>
      </c>
      <c r="Q142" s="80" t="s">
        <v>452</v>
      </c>
      <c r="R142" s="85" t="str">
        <f>HYPERLINK("https://econ.trib.al/B6siniM")</f>
        <v>https://econ.trib.al/B6siniM</v>
      </c>
      <c r="S142" s="80" t="s">
        <v>528</v>
      </c>
      <c r="T142" s="80"/>
      <c r="U142" s="80"/>
      <c r="V142" s="85" t="str">
        <f>HYPERLINK("https://pbs.twimg.com/profile_images/1291052047643471872/WtgzbTp7_normal.jpg")</f>
        <v>https://pbs.twimg.com/profile_images/1291052047643471872/WtgzbTp7_normal.jpg</v>
      </c>
      <c r="W142" s="82">
        <v>44478.33728009259</v>
      </c>
      <c r="X142" s="87">
        <v>44478</v>
      </c>
      <c r="Y142" s="83" t="s">
        <v>639</v>
      </c>
      <c r="Z142" s="85" t="str">
        <f>HYPERLINK("https://twitter.com/loucoop18/status/1446748690081738754")</f>
        <v>https://twitter.com/loucoop18/status/1446748690081738754</v>
      </c>
      <c r="AA142" s="80"/>
      <c r="AB142" s="80"/>
      <c r="AC142" s="83" t="s">
        <v>822</v>
      </c>
      <c r="AD142" s="80"/>
      <c r="AE142" s="80" t="b">
        <v>0</v>
      </c>
      <c r="AF142" s="80">
        <v>0</v>
      </c>
      <c r="AG142" s="83" t="s">
        <v>952</v>
      </c>
      <c r="AH142" s="80" t="b">
        <v>0</v>
      </c>
      <c r="AI142" s="80" t="s">
        <v>967</v>
      </c>
      <c r="AJ142" s="80"/>
      <c r="AK142" s="83" t="s">
        <v>952</v>
      </c>
      <c r="AL142" s="80" t="b">
        <v>0</v>
      </c>
      <c r="AM142" s="80">
        <v>12</v>
      </c>
      <c r="AN142" s="83" t="s">
        <v>895</v>
      </c>
      <c r="AO142" s="83" t="s">
        <v>976</v>
      </c>
      <c r="AP142" s="80" t="b">
        <v>0</v>
      </c>
      <c r="AQ142" s="83" t="s">
        <v>895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302</v>
      </c>
      <c r="B143" s="65" t="s">
        <v>331</v>
      </c>
      <c r="C143" s="66" t="s">
        <v>2815</v>
      </c>
      <c r="D143" s="67">
        <v>3</v>
      </c>
      <c r="E143" s="66" t="s">
        <v>132</v>
      </c>
      <c r="F143" s="69">
        <v>32</v>
      </c>
      <c r="G143" s="66"/>
      <c r="H143" s="70"/>
      <c r="I143" s="71"/>
      <c r="J143" s="71"/>
      <c r="K143" s="35" t="s">
        <v>65</v>
      </c>
      <c r="L143" s="72">
        <v>143</v>
      </c>
      <c r="M143" s="72"/>
      <c r="N143" s="73"/>
      <c r="O143" s="80" t="s">
        <v>407</v>
      </c>
      <c r="P143" s="82">
        <v>44478.33728009259</v>
      </c>
      <c r="Q143" s="80" t="s">
        <v>452</v>
      </c>
      <c r="R143" s="85" t="str">
        <f>HYPERLINK("https://econ.trib.al/B6siniM")</f>
        <v>https://econ.trib.al/B6siniM</v>
      </c>
      <c r="S143" s="80" t="s">
        <v>528</v>
      </c>
      <c r="T143" s="80"/>
      <c r="U143" s="80"/>
      <c r="V143" s="85" t="str">
        <f>HYPERLINK("https://pbs.twimg.com/profile_images/1291052047643471872/WtgzbTp7_normal.jpg")</f>
        <v>https://pbs.twimg.com/profile_images/1291052047643471872/WtgzbTp7_normal.jpg</v>
      </c>
      <c r="W143" s="82">
        <v>44478.33728009259</v>
      </c>
      <c r="X143" s="87">
        <v>44478</v>
      </c>
      <c r="Y143" s="83" t="s">
        <v>639</v>
      </c>
      <c r="Z143" s="85" t="str">
        <f>HYPERLINK("https://twitter.com/loucoop18/status/1446748690081738754")</f>
        <v>https://twitter.com/loucoop18/status/1446748690081738754</v>
      </c>
      <c r="AA143" s="80"/>
      <c r="AB143" s="80"/>
      <c r="AC143" s="83" t="s">
        <v>822</v>
      </c>
      <c r="AD143" s="80"/>
      <c r="AE143" s="80" t="b">
        <v>0</v>
      </c>
      <c r="AF143" s="80">
        <v>0</v>
      </c>
      <c r="AG143" s="83" t="s">
        <v>952</v>
      </c>
      <c r="AH143" s="80" t="b">
        <v>0</v>
      </c>
      <c r="AI143" s="80" t="s">
        <v>967</v>
      </c>
      <c r="AJ143" s="80"/>
      <c r="AK143" s="83" t="s">
        <v>952</v>
      </c>
      <c r="AL143" s="80" t="b">
        <v>0</v>
      </c>
      <c r="AM143" s="80">
        <v>12</v>
      </c>
      <c r="AN143" s="83" t="s">
        <v>895</v>
      </c>
      <c r="AO143" s="83" t="s">
        <v>976</v>
      </c>
      <c r="AP143" s="80" t="b">
        <v>0</v>
      </c>
      <c r="AQ143" s="83" t="s">
        <v>895</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302</v>
      </c>
      <c r="B144" s="65" t="s">
        <v>378</v>
      </c>
      <c r="C144" s="66" t="s">
        <v>2815</v>
      </c>
      <c r="D144" s="67">
        <v>3</v>
      </c>
      <c r="E144" s="66" t="s">
        <v>132</v>
      </c>
      <c r="F144" s="69">
        <v>32</v>
      </c>
      <c r="G144" s="66"/>
      <c r="H144" s="70"/>
      <c r="I144" s="71"/>
      <c r="J144" s="71"/>
      <c r="K144" s="35" t="s">
        <v>65</v>
      </c>
      <c r="L144" s="72">
        <v>144</v>
      </c>
      <c r="M144" s="72"/>
      <c r="N144" s="73"/>
      <c r="O144" s="80" t="s">
        <v>407</v>
      </c>
      <c r="P144" s="82">
        <v>44478.33728009259</v>
      </c>
      <c r="Q144" s="80" t="s">
        <v>452</v>
      </c>
      <c r="R144" s="85" t="str">
        <f>HYPERLINK("https://econ.trib.al/B6siniM")</f>
        <v>https://econ.trib.al/B6siniM</v>
      </c>
      <c r="S144" s="80" t="s">
        <v>528</v>
      </c>
      <c r="T144" s="80"/>
      <c r="U144" s="80"/>
      <c r="V144" s="85" t="str">
        <f>HYPERLINK("https://pbs.twimg.com/profile_images/1291052047643471872/WtgzbTp7_normal.jpg")</f>
        <v>https://pbs.twimg.com/profile_images/1291052047643471872/WtgzbTp7_normal.jpg</v>
      </c>
      <c r="W144" s="82">
        <v>44478.33728009259</v>
      </c>
      <c r="X144" s="87">
        <v>44478</v>
      </c>
      <c r="Y144" s="83" t="s">
        <v>639</v>
      </c>
      <c r="Z144" s="85" t="str">
        <f>HYPERLINK("https://twitter.com/loucoop18/status/1446748690081738754")</f>
        <v>https://twitter.com/loucoop18/status/1446748690081738754</v>
      </c>
      <c r="AA144" s="80"/>
      <c r="AB144" s="80"/>
      <c r="AC144" s="83" t="s">
        <v>822</v>
      </c>
      <c r="AD144" s="80"/>
      <c r="AE144" s="80" t="b">
        <v>0</v>
      </c>
      <c r="AF144" s="80">
        <v>0</v>
      </c>
      <c r="AG144" s="83" t="s">
        <v>952</v>
      </c>
      <c r="AH144" s="80" t="b">
        <v>0</v>
      </c>
      <c r="AI144" s="80" t="s">
        <v>967</v>
      </c>
      <c r="AJ144" s="80"/>
      <c r="AK144" s="83" t="s">
        <v>952</v>
      </c>
      <c r="AL144" s="80" t="b">
        <v>0</v>
      </c>
      <c r="AM144" s="80">
        <v>12</v>
      </c>
      <c r="AN144" s="83" t="s">
        <v>895</v>
      </c>
      <c r="AO144" s="83" t="s">
        <v>976</v>
      </c>
      <c r="AP144" s="80" t="b">
        <v>0</v>
      </c>
      <c r="AQ144" s="83" t="s">
        <v>895</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302</v>
      </c>
      <c r="B145" s="65" t="s">
        <v>342</v>
      </c>
      <c r="C145" s="66" t="s">
        <v>2815</v>
      </c>
      <c r="D145" s="67">
        <v>3</v>
      </c>
      <c r="E145" s="66" t="s">
        <v>132</v>
      </c>
      <c r="F145" s="69">
        <v>32</v>
      </c>
      <c r="G145" s="66"/>
      <c r="H145" s="70"/>
      <c r="I145" s="71"/>
      <c r="J145" s="71"/>
      <c r="K145" s="35" t="s">
        <v>65</v>
      </c>
      <c r="L145" s="72">
        <v>145</v>
      </c>
      <c r="M145" s="72"/>
      <c r="N145" s="73"/>
      <c r="O145" s="80" t="s">
        <v>408</v>
      </c>
      <c r="P145" s="82">
        <v>44478.33728009259</v>
      </c>
      <c r="Q145" s="80" t="s">
        <v>452</v>
      </c>
      <c r="R145" s="85" t="str">
        <f>HYPERLINK("https://econ.trib.al/B6siniM")</f>
        <v>https://econ.trib.al/B6siniM</v>
      </c>
      <c r="S145" s="80" t="s">
        <v>528</v>
      </c>
      <c r="T145" s="80"/>
      <c r="U145" s="80"/>
      <c r="V145" s="85" t="str">
        <f>HYPERLINK("https://pbs.twimg.com/profile_images/1291052047643471872/WtgzbTp7_normal.jpg")</f>
        <v>https://pbs.twimg.com/profile_images/1291052047643471872/WtgzbTp7_normal.jpg</v>
      </c>
      <c r="W145" s="82">
        <v>44478.33728009259</v>
      </c>
      <c r="X145" s="87">
        <v>44478</v>
      </c>
      <c r="Y145" s="83" t="s">
        <v>639</v>
      </c>
      <c r="Z145" s="85" t="str">
        <f>HYPERLINK("https://twitter.com/loucoop18/status/1446748690081738754")</f>
        <v>https://twitter.com/loucoop18/status/1446748690081738754</v>
      </c>
      <c r="AA145" s="80"/>
      <c r="AB145" s="80"/>
      <c r="AC145" s="83" t="s">
        <v>822</v>
      </c>
      <c r="AD145" s="80"/>
      <c r="AE145" s="80" t="b">
        <v>0</v>
      </c>
      <c r="AF145" s="80">
        <v>0</v>
      </c>
      <c r="AG145" s="83" t="s">
        <v>952</v>
      </c>
      <c r="AH145" s="80" t="b">
        <v>0</v>
      </c>
      <c r="AI145" s="80" t="s">
        <v>967</v>
      </c>
      <c r="AJ145" s="80"/>
      <c r="AK145" s="83" t="s">
        <v>952</v>
      </c>
      <c r="AL145" s="80" t="b">
        <v>0</v>
      </c>
      <c r="AM145" s="80">
        <v>12</v>
      </c>
      <c r="AN145" s="83" t="s">
        <v>895</v>
      </c>
      <c r="AO145" s="83" t="s">
        <v>976</v>
      </c>
      <c r="AP145" s="80" t="b">
        <v>0</v>
      </c>
      <c r="AQ145" s="83" t="s">
        <v>895</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34</v>
      </c>
      <c r="BM145" s="50">
        <v>100</v>
      </c>
      <c r="BN145" s="49">
        <v>34</v>
      </c>
    </row>
    <row r="146" spans="1:66" ht="15">
      <c r="A146" s="65" t="s">
        <v>303</v>
      </c>
      <c r="B146" s="65" t="s">
        <v>303</v>
      </c>
      <c r="C146" s="66" t="s">
        <v>2815</v>
      </c>
      <c r="D146" s="67">
        <v>3</v>
      </c>
      <c r="E146" s="66" t="s">
        <v>132</v>
      </c>
      <c r="F146" s="69">
        <v>32</v>
      </c>
      <c r="G146" s="66"/>
      <c r="H146" s="70"/>
      <c r="I146" s="71"/>
      <c r="J146" s="71"/>
      <c r="K146" s="35" t="s">
        <v>65</v>
      </c>
      <c r="L146" s="72">
        <v>146</v>
      </c>
      <c r="M146" s="72"/>
      <c r="N146" s="73"/>
      <c r="O146" s="80" t="s">
        <v>196</v>
      </c>
      <c r="P146" s="82">
        <v>44478.69236111111</v>
      </c>
      <c r="Q146" s="80" t="s">
        <v>453</v>
      </c>
      <c r="R146" s="85" t="str">
        <f>HYPERLINK("https://vegnews.com/2021/10/ashton-kutcher-cell-based-meat?utm_campaign=meetedgar&amp;utm_medium=social&amp;utm_source=meetedgar.com")</f>
        <v>https://vegnews.com/2021/10/ashton-kutcher-cell-based-meat?utm_campaign=meetedgar&amp;utm_medium=social&amp;utm_source=meetedgar.com</v>
      </c>
      <c r="S146" s="80" t="s">
        <v>532</v>
      </c>
      <c r="T146" s="80"/>
      <c r="U146" s="80"/>
      <c r="V146" s="85" t="str">
        <f>HYPERLINK("https://pbs.twimg.com/profile_images/1189786051981795328/Yq32o3Co_normal.jpg")</f>
        <v>https://pbs.twimg.com/profile_images/1189786051981795328/Yq32o3Co_normal.jpg</v>
      </c>
      <c r="W146" s="82">
        <v>44478.69236111111</v>
      </c>
      <c r="X146" s="87">
        <v>44478</v>
      </c>
      <c r="Y146" s="83" t="s">
        <v>640</v>
      </c>
      <c r="Z146" s="85" t="str">
        <f>HYPERLINK("https://twitter.com/reginabanali/status/1446877367541116932")</f>
        <v>https://twitter.com/reginabanali/status/1446877367541116932</v>
      </c>
      <c r="AA146" s="80"/>
      <c r="AB146" s="80"/>
      <c r="AC146" s="83" t="s">
        <v>823</v>
      </c>
      <c r="AD146" s="80"/>
      <c r="AE146" s="80" t="b">
        <v>0</v>
      </c>
      <c r="AF146" s="80">
        <v>0</v>
      </c>
      <c r="AG146" s="83" t="s">
        <v>952</v>
      </c>
      <c r="AH146" s="80" t="b">
        <v>0</v>
      </c>
      <c r="AI146" s="80" t="s">
        <v>967</v>
      </c>
      <c r="AJ146" s="80"/>
      <c r="AK146" s="83" t="s">
        <v>952</v>
      </c>
      <c r="AL146" s="80" t="b">
        <v>0</v>
      </c>
      <c r="AM146" s="80">
        <v>0</v>
      </c>
      <c r="AN146" s="83" t="s">
        <v>952</v>
      </c>
      <c r="AO146" s="83" t="s">
        <v>988</v>
      </c>
      <c r="AP146" s="80" t="b">
        <v>0</v>
      </c>
      <c r="AQ146" s="83" t="s">
        <v>823</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9">
        <v>0</v>
      </c>
      <c r="BG146" s="50">
        <v>0</v>
      </c>
      <c r="BH146" s="49">
        <v>0</v>
      </c>
      <c r="BI146" s="50">
        <v>0</v>
      </c>
      <c r="BJ146" s="49">
        <v>0</v>
      </c>
      <c r="BK146" s="50">
        <v>0</v>
      </c>
      <c r="BL146" s="49">
        <v>11</v>
      </c>
      <c r="BM146" s="50">
        <v>100</v>
      </c>
      <c r="BN146" s="49">
        <v>11</v>
      </c>
    </row>
    <row r="147" spans="1:66" ht="15">
      <c r="A147" s="65" t="s">
        <v>304</v>
      </c>
      <c r="B147" s="65" t="s">
        <v>361</v>
      </c>
      <c r="C147" s="66" t="s">
        <v>2815</v>
      </c>
      <c r="D147" s="67">
        <v>3</v>
      </c>
      <c r="E147" s="66" t="s">
        <v>132</v>
      </c>
      <c r="F147" s="69">
        <v>32</v>
      </c>
      <c r="G147" s="66"/>
      <c r="H147" s="70"/>
      <c r="I147" s="71"/>
      <c r="J147" s="71"/>
      <c r="K147" s="35" t="s">
        <v>65</v>
      </c>
      <c r="L147" s="72">
        <v>147</v>
      </c>
      <c r="M147" s="72"/>
      <c r="N147" s="73"/>
      <c r="O147" s="80" t="s">
        <v>407</v>
      </c>
      <c r="P147" s="82">
        <v>44478.803298611114</v>
      </c>
      <c r="Q147" s="80" t="s">
        <v>454</v>
      </c>
      <c r="R147" s="85" t="str">
        <f>HYPERLINK("https://vegnews.com/2021/10/ashton-kutcher-cell-based-meat")</f>
        <v>https://vegnews.com/2021/10/ashton-kutcher-cell-based-meat</v>
      </c>
      <c r="S147" s="80" t="s">
        <v>532</v>
      </c>
      <c r="T147" s="83" t="s">
        <v>558</v>
      </c>
      <c r="U147" s="80"/>
      <c r="V147" s="85" t="str">
        <f>HYPERLINK("https://pbs.twimg.com/profile_images/1062606485388230656/HKxQrNsP_normal.jpg")</f>
        <v>https://pbs.twimg.com/profile_images/1062606485388230656/HKxQrNsP_normal.jpg</v>
      </c>
      <c r="W147" s="82">
        <v>44478.803298611114</v>
      </c>
      <c r="X147" s="87">
        <v>44478</v>
      </c>
      <c r="Y147" s="83" t="s">
        <v>641</v>
      </c>
      <c r="Z147" s="85" t="str">
        <f>HYPERLINK("https://twitter.com/ale6altrove/status/1446917569018056705")</f>
        <v>https://twitter.com/ale6altrove/status/1446917569018056705</v>
      </c>
      <c r="AA147" s="80"/>
      <c r="AB147" s="80"/>
      <c r="AC147" s="83" t="s">
        <v>824</v>
      </c>
      <c r="AD147" s="80"/>
      <c r="AE147" s="80" t="b">
        <v>0</v>
      </c>
      <c r="AF147" s="80">
        <v>0</v>
      </c>
      <c r="AG147" s="83" t="s">
        <v>952</v>
      </c>
      <c r="AH147" s="80" t="b">
        <v>0</v>
      </c>
      <c r="AI147" s="80" t="s">
        <v>967</v>
      </c>
      <c r="AJ147" s="80"/>
      <c r="AK147" s="83" t="s">
        <v>952</v>
      </c>
      <c r="AL147" s="80" t="b">
        <v>0</v>
      </c>
      <c r="AM147" s="80">
        <v>6</v>
      </c>
      <c r="AN147" s="83" t="s">
        <v>931</v>
      </c>
      <c r="AO147" s="83" t="s">
        <v>976</v>
      </c>
      <c r="AP147" s="80" t="b">
        <v>0</v>
      </c>
      <c r="AQ147" s="83" t="s">
        <v>931</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304</v>
      </c>
      <c r="B148" s="65" t="s">
        <v>390</v>
      </c>
      <c r="C148" s="66" t="s">
        <v>2815</v>
      </c>
      <c r="D148" s="67">
        <v>3</v>
      </c>
      <c r="E148" s="66" t="s">
        <v>132</v>
      </c>
      <c r="F148" s="69">
        <v>32</v>
      </c>
      <c r="G148" s="66"/>
      <c r="H148" s="70"/>
      <c r="I148" s="71"/>
      <c r="J148" s="71"/>
      <c r="K148" s="35" t="s">
        <v>65</v>
      </c>
      <c r="L148" s="72">
        <v>148</v>
      </c>
      <c r="M148" s="72"/>
      <c r="N148" s="73"/>
      <c r="O148" s="80" t="s">
        <v>407</v>
      </c>
      <c r="P148" s="82">
        <v>44478.803298611114</v>
      </c>
      <c r="Q148" s="80" t="s">
        <v>454</v>
      </c>
      <c r="R148" s="85" t="str">
        <f>HYPERLINK("https://vegnews.com/2021/10/ashton-kutcher-cell-based-meat")</f>
        <v>https://vegnews.com/2021/10/ashton-kutcher-cell-based-meat</v>
      </c>
      <c r="S148" s="80" t="s">
        <v>532</v>
      </c>
      <c r="T148" s="83" t="s">
        <v>558</v>
      </c>
      <c r="U148" s="80"/>
      <c r="V148" s="85" t="str">
        <f>HYPERLINK("https://pbs.twimg.com/profile_images/1062606485388230656/HKxQrNsP_normal.jpg")</f>
        <v>https://pbs.twimg.com/profile_images/1062606485388230656/HKxQrNsP_normal.jpg</v>
      </c>
      <c r="W148" s="82">
        <v>44478.803298611114</v>
      </c>
      <c r="X148" s="87">
        <v>44478</v>
      </c>
      <c r="Y148" s="83" t="s">
        <v>641</v>
      </c>
      <c r="Z148" s="85" t="str">
        <f>HYPERLINK("https://twitter.com/ale6altrove/status/1446917569018056705")</f>
        <v>https://twitter.com/ale6altrove/status/1446917569018056705</v>
      </c>
      <c r="AA148" s="80"/>
      <c r="AB148" s="80"/>
      <c r="AC148" s="83" t="s">
        <v>824</v>
      </c>
      <c r="AD148" s="80"/>
      <c r="AE148" s="80" t="b">
        <v>0</v>
      </c>
      <c r="AF148" s="80">
        <v>0</v>
      </c>
      <c r="AG148" s="83" t="s">
        <v>952</v>
      </c>
      <c r="AH148" s="80" t="b">
        <v>0</v>
      </c>
      <c r="AI148" s="80" t="s">
        <v>967</v>
      </c>
      <c r="AJ148" s="80"/>
      <c r="AK148" s="83" t="s">
        <v>952</v>
      </c>
      <c r="AL148" s="80" t="b">
        <v>0</v>
      </c>
      <c r="AM148" s="80">
        <v>6</v>
      </c>
      <c r="AN148" s="83" t="s">
        <v>931</v>
      </c>
      <c r="AO148" s="83" t="s">
        <v>976</v>
      </c>
      <c r="AP148" s="80" t="b">
        <v>0</v>
      </c>
      <c r="AQ148" s="83" t="s">
        <v>931</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4</v>
      </c>
      <c r="BE148" s="79" t="str">
        <f>REPLACE(INDEX(GroupVertices[Group],MATCH(Edges[[#This Row],[Vertex 2]],GroupVertices[Vertex],0)),1,1,"")</f>
        <v>4</v>
      </c>
      <c r="BF148" s="49"/>
      <c r="BG148" s="50"/>
      <c r="BH148" s="49"/>
      <c r="BI148" s="50"/>
      <c r="BJ148" s="49"/>
      <c r="BK148" s="50"/>
      <c r="BL148" s="49"/>
      <c r="BM148" s="50"/>
      <c r="BN148" s="49"/>
    </row>
    <row r="149" spans="1:66" ht="15">
      <c r="A149" s="65" t="s">
        <v>304</v>
      </c>
      <c r="B149" s="65" t="s">
        <v>362</v>
      </c>
      <c r="C149" s="66" t="s">
        <v>2815</v>
      </c>
      <c r="D149" s="67">
        <v>3</v>
      </c>
      <c r="E149" s="66" t="s">
        <v>132</v>
      </c>
      <c r="F149" s="69">
        <v>32</v>
      </c>
      <c r="G149" s="66"/>
      <c r="H149" s="70"/>
      <c r="I149" s="71"/>
      <c r="J149" s="71"/>
      <c r="K149" s="35" t="s">
        <v>65</v>
      </c>
      <c r="L149" s="72">
        <v>149</v>
      </c>
      <c r="M149" s="72"/>
      <c r="N149" s="73"/>
      <c r="O149" s="80" t="s">
        <v>408</v>
      </c>
      <c r="P149" s="82">
        <v>44478.803298611114</v>
      </c>
      <c r="Q149" s="80" t="s">
        <v>454</v>
      </c>
      <c r="R149" s="85" t="str">
        <f>HYPERLINK("https://vegnews.com/2021/10/ashton-kutcher-cell-based-meat")</f>
        <v>https://vegnews.com/2021/10/ashton-kutcher-cell-based-meat</v>
      </c>
      <c r="S149" s="80" t="s">
        <v>532</v>
      </c>
      <c r="T149" s="83" t="s">
        <v>558</v>
      </c>
      <c r="U149" s="80"/>
      <c r="V149" s="85" t="str">
        <f>HYPERLINK("https://pbs.twimg.com/profile_images/1062606485388230656/HKxQrNsP_normal.jpg")</f>
        <v>https://pbs.twimg.com/profile_images/1062606485388230656/HKxQrNsP_normal.jpg</v>
      </c>
      <c r="W149" s="82">
        <v>44478.803298611114</v>
      </c>
      <c r="X149" s="87">
        <v>44478</v>
      </c>
      <c r="Y149" s="83" t="s">
        <v>641</v>
      </c>
      <c r="Z149" s="85" t="str">
        <f>HYPERLINK("https://twitter.com/ale6altrove/status/1446917569018056705")</f>
        <v>https://twitter.com/ale6altrove/status/1446917569018056705</v>
      </c>
      <c r="AA149" s="80"/>
      <c r="AB149" s="80"/>
      <c r="AC149" s="83" t="s">
        <v>824</v>
      </c>
      <c r="AD149" s="80"/>
      <c r="AE149" s="80" t="b">
        <v>0</v>
      </c>
      <c r="AF149" s="80">
        <v>0</v>
      </c>
      <c r="AG149" s="83" t="s">
        <v>952</v>
      </c>
      <c r="AH149" s="80" t="b">
        <v>0</v>
      </c>
      <c r="AI149" s="80" t="s">
        <v>967</v>
      </c>
      <c r="AJ149" s="80"/>
      <c r="AK149" s="83" t="s">
        <v>952</v>
      </c>
      <c r="AL149" s="80" t="b">
        <v>0</v>
      </c>
      <c r="AM149" s="80">
        <v>6</v>
      </c>
      <c r="AN149" s="83" t="s">
        <v>931</v>
      </c>
      <c r="AO149" s="83" t="s">
        <v>976</v>
      </c>
      <c r="AP149" s="80" t="b">
        <v>0</v>
      </c>
      <c r="AQ149" s="83" t="s">
        <v>931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4</v>
      </c>
      <c r="BE149" s="79" t="str">
        <f>REPLACE(INDEX(GroupVertices[Group],MATCH(Edges[[#This Row],[Vertex 2]],GroupVertices[Vertex],0)),1,1,"")</f>
        <v>4</v>
      </c>
      <c r="BF149" s="49">
        <v>1</v>
      </c>
      <c r="BG149" s="50">
        <v>5.555555555555555</v>
      </c>
      <c r="BH149" s="49">
        <v>0</v>
      </c>
      <c r="BI149" s="50">
        <v>0</v>
      </c>
      <c r="BJ149" s="49">
        <v>0</v>
      </c>
      <c r="BK149" s="50">
        <v>0</v>
      </c>
      <c r="BL149" s="49">
        <v>17</v>
      </c>
      <c r="BM149" s="50">
        <v>94.44444444444444</v>
      </c>
      <c r="BN149" s="49">
        <v>18</v>
      </c>
    </row>
    <row r="150" spans="1:66" ht="15">
      <c r="A150" s="65" t="s">
        <v>305</v>
      </c>
      <c r="B150" s="65" t="s">
        <v>361</v>
      </c>
      <c r="C150" s="66" t="s">
        <v>2815</v>
      </c>
      <c r="D150" s="67">
        <v>3</v>
      </c>
      <c r="E150" s="66" t="s">
        <v>132</v>
      </c>
      <c r="F150" s="69">
        <v>32</v>
      </c>
      <c r="G150" s="66"/>
      <c r="H150" s="70"/>
      <c r="I150" s="71"/>
      <c r="J150" s="71"/>
      <c r="K150" s="35" t="s">
        <v>65</v>
      </c>
      <c r="L150" s="72">
        <v>150</v>
      </c>
      <c r="M150" s="72"/>
      <c r="N150" s="73"/>
      <c r="O150" s="80" t="s">
        <v>407</v>
      </c>
      <c r="P150" s="82">
        <v>44478.80850694444</v>
      </c>
      <c r="Q150" s="80" t="s">
        <v>454</v>
      </c>
      <c r="R150" s="85" t="str">
        <f>HYPERLINK("https://vegnews.com/2021/10/ashton-kutcher-cell-based-meat")</f>
        <v>https://vegnews.com/2021/10/ashton-kutcher-cell-based-meat</v>
      </c>
      <c r="S150" s="80" t="s">
        <v>532</v>
      </c>
      <c r="T150" s="83" t="s">
        <v>558</v>
      </c>
      <c r="U150" s="80"/>
      <c r="V150" s="85" t="str">
        <f>HYPERLINK("https://pbs.twimg.com/profile_images/1310579955814862850/zkg07N2g_normal.jpg")</f>
        <v>https://pbs.twimg.com/profile_images/1310579955814862850/zkg07N2g_normal.jpg</v>
      </c>
      <c r="W150" s="82">
        <v>44478.80850694444</v>
      </c>
      <c r="X150" s="87">
        <v>44478</v>
      </c>
      <c r="Y150" s="83" t="s">
        <v>642</v>
      </c>
      <c r="Z150" s="85" t="str">
        <f>HYPERLINK("https://twitter.com/pepe_nature/status/1446919457398460420")</f>
        <v>https://twitter.com/pepe_nature/status/1446919457398460420</v>
      </c>
      <c r="AA150" s="80"/>
      <c r="AB150" s="80"/>
      <c r="AC150" s="83" t="s">
        <v>825</v>
      </c>
      <c r="AD150" s="80"/>
      <c r="AE150" s="80" t="b">
        <v>0</v>
      </c>
      <c r="AF150" s="80">
        <v>0</v>
      </c>
      <c r="AG150" s="83" t="s">
        <v>952</v>
      </c>
      <c r="AH150" s="80" t="b">
        <v>0</v>
      </c>
      <c r="AI150" s="80" t="s">
        <v>967</v>
      </c>
      <c r="AJ150" s="80"/>
      <c r="AK150" s="83" t="s">
        <v>952</v>
      </c>
      <c r="AL150" s="80" t="b">
        <v>0</v>
      </c>
      <c r="AM150" s="80">
        <v>6</v>
      </c>
      <c r="AN150" s="83" t="s">
        <v>931</v>
      </c>
      <c r="AO150" s="83" t="s">
        <v>979</v>
      </c>
      <c r="AP150" s="80" t="b">
        <v>0</v>
      </c>
      <c r="AQ150" s="83" t="s">
        <v>931</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4</v>
      </c>
      <c r="BE150" s="79" t="str">
        <f>REPLACE(INDEX(GroupVertices[Group],MATCH(Edges[[#This Row],[Vertex 2]],GroupVertices[Vertex],0)),1,1,"")</f>
        <v>4</v>
      </c>
      <c r="BF150" s="49"/>
      <c r="BG150" s="50"/>
      <c r="BH150" s="49"/>
      <c r="BI150" s="50"/>
      <c r="BJ150" s="49"/>
      <c r="BK150" s="50"/>
      <c r="BL150" s="49"/>
      <c r="BM150" s="50"/>
      <c r="BN150" s="49"/>
    </row>
    <row r="151" spans="1:66" ht="15">
      <c r="A151" s="65" t="s">
        <v>305</v>
      </c>
      <c r="B151" s="65" t="s">
        <v>390</v>
      </c>
      <c r="C151" s="66" t="s">
        <v>2815</v>
      </c>
      <c r="D151" s="67">
        <v>3</v>
      </c>
      <c r="E151" s="66" t="s">
        <v>132</v>
      </c>
      <c r="F151" s="69">
        <v>32</v>
      </c>
      <c r="G151" s="66"/>
      <c r="H151" s="70"/>
      <c r="I151" s="71"/>
      <c r="J151" s="71"/>
      <c r="K151" s="35" t="s">
        <v>65</v>
      </c>
      <c r="L151" s="72">
        <v>151</v>
      </c>
      <c r="M151" s="72"/>
      <c r="N151" s="73"/>
      <c r="O151" s="80" t="s">
        <v>407</v>
      </c>
      <c r="P151" s="82">
        <v>44478.80850694444</v>
      </c>
      <c r="Q151" s="80" t="s">
        <v>454</v>
      </c>
      <c r="R151" s="85" t="str">
        <f>HYPERLINK("https://vegnews.com/2021/10/ashton-kutcher-cell-based-meat")</f>
        <v>https://vegnews.com/2021/10/ashton-kutcher-cell-based-meat</v>
      </c>
      <c r="S151" s="80" t="s">
        <v>532</v>
      </c>
      <c r="T151" s="83" t="s">
        <v>558</v>
      </c>
      <c r="U151" s="80"/>
      <c r="V151" s="85" t="str">
        <f>HYPERLINK("https://pbs.twimg.com/profile_images/1310579955814862850/zkg07N2g_normal.jpg")</f>
        <v>https://pbs.twimg.com/profile_images/1310579955814862850/zkg07N2g_normal.jpg</v>
      </c>
      <c r="W151" s="82">
        <v>44478.80850694444</v>
      </c>
      <c r="X151" s="87">
        <v>44478</v>
      </c>
      <c r="Y151" s="83" t="s">
        <v>642</v>
      </c>
      <c r="Z151" s="85" t="str">
        <f>HYPERLINK("https://twitter.com/pepe_nature/status/1446919457398460420")</f>
        <v>https://twitter.com/pepe_nature/status/1446919457398460420</v>
      </c>
      <c r="AA151" s="80"/>
      <c r="AB151" s="80"/>
      <c r="AC151" s="83" t="s">
        <v>825</v>
      </c>
      <c r="AD151" s="80"/>
      <c r="AE151" s="80" t="b">
        <v>0</v>
      </c>
      <c r="AF151" s="80">
        <v>0</v>
      </c>
      <c r="AG151" s="83" t="s">
        <v>952</v>
      </c>
      <c r="AH151" s="80" t="b">
        <v>0</v>
      </c>
      <c r="AI151" s="80" t="s">
        <v>967</v>
      </c>
      <c r="AJ151" s="80"/>
      <c r="AK151" s="83" t="s">
        <v>952</v>
      </c>
      <c r="AL151" s="80" t="b">
        <v>0</v>
      </c>
      <c r="AM151" s="80">
        <v>6</v>
      </c>
      <c r="AN151" s="83" t="s">
        <v>931</v>
      </c>
      <c r="AO151" s="83" t="s">
        <v>979</v>
      </c>
      <c r="AP151" s="80" t="b">
        <v>0</v>
      </c>
      <c r="AQ151" s="83" t="s">
        <v>931</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305</v>
      </c>
      <c r="B152" s="65" t="s">
        <v>362</v>
      </c>
      <c r="C152" s="66" t="s">
        <v>2815</v>
      </c>
      <c r="D152" s="67">
        <v>3</v>
      </c>
      <c r="E152" s="66" t="s">
        <v>132</v>
      </c>
      <c r="F152" s="69">
        <v>32</v>
      </c>
      <c r="G152" s="66"/>
      <c r="H152" s="70"/>
      <c r="I152" s="71"/>
      <c r="J152" s="71"/>
      <c r="K152" s="35" t="s">
        <v>65</v>
      </c>
      <c r="L152" s="72">
        <v>152</v>
      </c>
      <c r="M152" s="72"/>
      <c r="N152" s="73"/>
      <c r="O152" s="80" t="s">
        <v>408</v>
      </c>
      <c r="P152" s="82">
        <v>44478.80850694444</v>
      </c>
      <c r="Q152" s="80" t="s">
        <v>454</v>
      </c>
      <c r="R152" s="85" t="str">
        <f>HYPERLINK("https://vegnews.com/2021/10/ashton-kutcher-cell-based-meat")</f>
        <v>https://vegnews.com/2021/10/ashton-kutcher-cell-based-meat</v>
      </c>
      <c r="S152" s="80" t="s">
        <v>532</v>
      </c>
      <c r="T152" s="83" t="s">
        <v>558</v>
      </c>
      <c r="U152" s="80"/>
      <c r="V152" s="85" t="str">
        <f>HYPERLINK("https://pbs.twimg.com/profile_images/1310579955814862850/zkg07N2g_normal.jpg")</f>
        <v>https://pbs.twimg.com/profile_images/1310579955814862850/zkg07N2g_normal.jpg</v>
      </c>
      <c r="W152" s="82">
        <v>44478.80850694444</v>
      </c>
      <c r="X152" s="87">
        <v>44478</v>
      </c>
      <c r="Y152" s="83" t="s">
        <v>642</v>
      </c>
      <c r="Z152" s="85" t="str">
        <f>HYPERLINK("https://twitter.com/pepe_nature/status/1446919457398460420")</f>
        <v>https://twitter.com/pepe_nature/status/1446919457398460420</v>
      </c>
      <c r="AA152" s="80"/>
      <c r="AB152" s="80"/>
      <c r="AC152" s="83" t="s">
        <v>825</v>
      </c>
      <c r="AD152" s="80"/>
      <c r="AE152" s="80" t="b">
        <v>0</v>
      </c>
      <c r="AF152" s="80">
        <v>0</v>
      </c>
      <c r="AG152" s="83" t="s">
        <v>952</v>
      </c>
      <c r="AH152" s="80" t="b">
        <v>0</v>
      </c>
      <c r="AI152" s="80" t="s">
        <v>967</v>
      </c>
      <c r="AJ152" s="80"/>
      <c r="AK152" s="83" t="s">
        <v>952</v>
      </c>
      <c r="AL152" s="80" t="b">
        <v>0</v>
      </c>
      <c r="AM152" s="80">
        <v>6</v>
      </c>
      <c r="AN152" s="83" t="s">
        <v>931</v>
      </c>
      <c r="AO152" s="83" t="s">
        <v>979</v>
      </c>
      <c r="AP152" s="80" t="b">
        <v>0</v>
      </c>
      <c r="AQ152" s="83" t="s">
        <v>931</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4</v>
      </c>
      <c r="BE152" s="79" t="str">
        <f>REPLACE(INDEX(GroupVertices[Group],MATCH(Edges[[#This Row],[Vertex 2]],GroupVertices[Vertex],0)),1,1,"")</f>
        <v>4</v>
      </c>
      <c r="BF152" s="49">
        <v>1</v>
      </c>
      <c r="BG152" s="50">
        <v>5.555555555555555</v>
      </c>
      <c r="BH152" s="49">
        <v>0</v>
      </c>
      <c r="BI152" s="50">
        <v>0</v>
      </c>
      <c r="BJ152" s="49">
        <v>0</v>
      </c>
      <c r="BK152" s="50">
        <v>0</v>
      </c>
      <c r="BL152" s="49">
        <v>17</v>
      </c>
      <c r="BM152" s="50">
        <v>94.44444444444444</v>
      </c>
      <c r="BN152" s="49">
        <v>18</v>
      </c>
    </row>
    <row r="153" spans="1:66" ht="15">
      <c r="A153" s="65" t="s">
        <v>306</v>
      </c>
      <c r="B153" s="65" t="s">
        <v>377</v>
      </c>
      <c r="C153" s="66" t="s">
        <v>2815</v>
      </c>
      <c r="D153" s="67">
        <v>3</v>
      </c>
      <c r="E153" s="66" t="s">
        <v>132</v>
      </c>
      <c r="F153" s="69">
        <v>32</v>
      </c>
      <c r="G153" s="66"/>
      <c r="H153" s="70"/>
      <c r="I153" s="71"/>
      <c r="J153" s="71"/>
      <c r="K153" s="35" t="s">
        <v>65</v>
      </c>
      <c r="L153" s="72">
        <v>153</v>
      </c>
      <c r="M153" s="72"/>
      <c r="N153" s="73"/>
      <c r="O153" s="80" t="s">
        <v>407</v>
      </c>
      <c r="P153" s="82">
        <v>44478.96078703704</v>
      </c>
      <c r="Q153" s="80" t="s">
        <v>455</v>
      </c>
      <c r="R153"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3" s="80" t="s">
        <v>535</v>
      </c>
      <c r="T153" s="80"/>
      <c r="U153" s="80"/>
      <c r="V153" s="85" t="str">
        <f>HYPERLINK("https://pbs.twimg.com/profile_images/1134927635258195969/Nq76xWb4_normal.png")</f>
        <v>https://pbs.twimg.com/profile_images/1134927635258195969/Nq76xWb4_normal.png</v>
      </c>
      <c r="W153" s="82">
        <v>44478.96078703704</v>
      </c>
      <c r="X153" s="87">
        <v>44478</v>
      </c>
      <c r="Y153" s="83" t="s">
        <v>643</v>
      </c>
      <c r="Z153" s="85" t="str">
        <f>HYPERLINK("https://twitter.com/sdelagrave/status/1446974642279833603")</f>
        <v>https://twitter.com/sdelagrave/status/1446974642279833603</v>
      </c>
      <c r="AA153" s="80"/>
      <c r="AB153" s="80"/>
      <c r="AC153" s="83" t="s">
        <v>826</v>
      </c>
      <c r="AD153" s="80"/>
      <c r="AE153" s="80" t="b">
        <v>0</v>
      </c>
      <c r="AF153" s="80">
        <v>0</v>
      </c>
      <c r="AG153" s="83" t="s">
        <v>952</v>
      </c>
      <c r="AH153" s="80" t="b">
        <v>0</v>
      </c>
      <c r="AI153" s="80" t="s">
        <v>967</v>
      </c>
      <c r="AJ153" s="80"/>
      <c r="AK153" s="83" t="s">
        <v>952</v>
      </c>
      <c r="AL153" s="80" t="b">
        <v>0</v>
      </c>
      <c r="AM153" s="80">
        <v>1</v>
      </c>
      <c r="AN153" s="83" t="s">
        <v>900</v>
      </c>
      <c r="AO153" s="83" t="s">
        <v>976</v>
      </c>
      <c r="AP153" s="80" t="b">
        <v>0</v>
      </c>
      <c r="AQ153" s="83" t="s">
        <v>900</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306</v>
      </c>
      <c r="B154" s="65" t="s">
        <v>331</v>
      </c>
      <c r="C154" s="66" t="s">
        <v>2815</v>
      </c>
      <c r="D154" s="67">
        <v>3</v>
      </c>
      <c r="E154" s="66" t="s">
        <v>132</v>
      </c>
      <c r="F154" s="69">
        <v>32</v>
      </c>
      <c r="G154" s="66"/>
      <c r="H154" s="70"/>
      <c r="I154" s="71"/>
      <c r="J154" s="71"/>
      <c r="K154" s="35" t="s">
        <v>65</v>
      </c>
      <c r="L154" s="72">
        <v>154</v>
      </c>
      <c r="M154" s="72"/>
      <c r="N154" s="73"/>
      <c r="O154" s="80" t="s">
        <v>407</v>
      </c>
      <c r="P154" s="82">
        <v>44478.96078703704</v>
      </c>
      <c r="Q154" s="80" t="s">
        <v>455</v>
      </c>
      <c r="R154"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4" s="80" t="s">
        <v>535</v>
      </c>
      <c r="T154" s="80"/>
      <c r="U154" s="80"/>
      <c r="V154" s="85" t="str">
        <f>HYPERLINK("https://pbs.twimg.com/profile_images/1134927635258195969/Nq76xWb4_normal.png")</f>
        <v>https://pbs.twimg.com/profile_images/1134927635258195969/Nq76xWb4_normal.png</v>
      </c>
      <c r="W154" s="82">
        <v>44478.96078703704</v>
      </c>
      <c r="X154" s="87">
        <v>44478</v>
      </c>
      <c r="Y154" s="83" t="s">
        <v>643</v>
      </c>
      <c r="Z154" s="85" t="str">
        <f>HYPERLINK("https://twitter.com/sdelagrave/status/1446974642279833603")</f>
        <v>https://twitter.com/sdelagrave/status/1446974642279833603</v>
      </c>
      <c r="AA154" s="80"/>
      <c r="AB154" s="80"/>
      <c r="AC154" s="83" t="s">
        <v>826</v>
      </c>
      <c r="AD154" s="80"/>
      <c r="AE154" s="80" t="b">
        <v>0</v>
      </c>
      <c r="AF154" s="80">
        <v>0</v>
      </c>
      <c r="AG154" s="83" t="s">
        <v>952</v>
      </c>
      <c r="AH154" s="80" t="b">
        <v>0</v>
      </c>
      <c r="AI154" s="80" t="s">
        <v>967</v>
      </c>
      <c r="AJ154" s="80"/>
      <c r="AK154" s="83" t="s">
        <v>952</v>
      </c>
      <c r="AL154" s="80" t="b">
        <v>0</v>
      </c>
      <c r="AM154" s="80">
        <v>1</v>
      </c>
      <c r="AN154" s="83" t="s">
        <v>900</v>
      </c>
      <c r="AO154" s="83" t="s">
        <v>976</v>
      </c>
      <c r="AP154" s="80" t="b">
        <v>0</v>
      </c>
      <c r="AQ154" s="83" t="s">
        <v>900</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306</v>
      </c>
      <c r="B155" s="65" t="s">
        <v>378</v>
      </c>
      <c r="C155" s="66" t="s">
        <v>2815</v>
      </c>
      <c r="D155" s="67">
        <v>3</v>
      </c>
      <c r="E155" s="66" t="s">
        <v>132</v>
      </c>
      <c r="F155" s="69">
        <v>32</v>
      </c>
      <c r="G155" s="66"/>
      <c r="H155" s="70"/>
      <c r="I155" s="71"/>
      <c r="J155" s="71"/>
      <c r="K155" s="35" t="s">
        <v>65</v>
      </c>
      <c r="L155" s="72">
        <v>155</v>
      </c>
      <c r="M155" s="72"/>
      <c r="N155" s="73"/>
      <c r="O155" s="80" t="s">
        <v>407</v>
      </c>
      <c r="P155" s="82">
        <v>44478.96078703704</v>
      </c>
      <c r="Q155" s="80" t="s">
        <v>455</v>
      </c>
      <c r="R155"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5" s="80" t="s">
        <v>535</v>
      </c>
      <c r="T155" s="80"/>
      <c r="U155" s="80"/>
      <c r="V155" s="85" t="str">
        <f>HYPERLINK("https://pbs.twimg.com/profile_images/1134927635258195969/Nq76xWb4_normal.png")</f>
        <v>https://pbs.twimg.com/profile_images/1134927635258195969/Nq76xWb4_normal.png</v>
      </c>
      <c r="W155" s="82">
        <v>44478.96078703704</v>
      </c>
      <c r="X155" s="87">
        <v>44478</v>
      </c>
      <c r="Y155" s="83" t="s">
        <v>643</v>
      </c>
      <c r="Z155" s="85" t="str">
        <f>HYPERLINK("https://twitter.com/sdelagrave/status/1446974642279833603")</f>
        <v>https://twitter.com/sdelagrave/status/1446974642279833603</v>
      </c>
      <c r="AA155" s="80"/>
      <c r="AB155" s="80"/>
      <c r="AC155" s="83" t="s">
        <v>826</v>
      </c>
      <c r="AD155" s="80"/>
      <c r="AE155" s="80" t="b">
        <v>0</v>
      </c>
      <c r="AF155" s="80">
        <v>0</v>
      </c>
      <c r="AG155" s="83" t="s">
        <v>952</v>
      </c>
      <c r="AH155" s="80" t="b">
        <v>0</v>
      </c>
      <c r="AI155" s="80" t="s">
        <v>967</v>
      </c>
      <c r="AJ155" s="80"/>
      <c r="AK155" s="83" t="s">
        <v>952</v>
      </c>
      <c r="AL155" s="80" t="b">
        <v>0</v>
      </c>
      <c r="AM155" s="80">
        <v>1</v>
      </c>
      <c r="AN155" s="83" t="s">
        <v>900</v>
      </c>
      <c r="AO155" s="83" t="s">
        <v>976</v>
      </c>
      <c r="AP155" s="80" t="b">
        <v>0</v>
      </c>
      <c r="AQ155" s="83" t="s">
        <v>900</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306</v>
      </c>
      <c r="B156" s="65" t="s">
        <v>341</v>
      </c>
      <c r="C156" s="66" t="s">
        <v>2815</v>
      </c>
      <c r="D156" s="67">
        <v>3</v>
      </c>
      <c r="E156" s="66" t="s">
        <v>132</v>
      </c>
      <c r="F156" s="69">
        <v>32</v>
      </c>
      <c r="G156" s="66"/>
      <c r="H156" s="70"/>
      <c r="I156" s="71"/>
      <c r="J156" s="71"/>
      <c r="K156" s="35" t="s">
        <v>65</v>
      </c>
      <c r="L156" s="72">
        <v>156</v>
      </c>
      <c r="M156" s="72"/>
      <c r="N156" s="73"/>
      <c r="O156" s="80" t="s">
        <v>408</v>
      </c>
      <c r="P156" s="82">
        <v>44478.96078703704</v>
      </c>
      <c r="Q156" s="80" t="s">
        <v>455</v>
      </c>
      <c r="R156"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6" s="80" t="s">
        <v>535</v>
      </c>
      <c r="T156" s="80"/>
      <c r="U156" s="80"/>
      <c r="V156" s="85" t="str">
        <f>HYPERLINK("https://pbs.twimg.com/profile_images/1134927635258195969/Nq76xWb4_normal.png")</f>
        <v>https://pbs.twimg.com/profile_images/1134927635258195969/Nq76xWb4_normal.png</v>
      </c>
      <c r="W156" s="82">
        <v>44478.96078703704</v>
      </c>
      <c r="X156" s="87">
        <v>44478</v>
      </c>
      <c r="Y156" s="83" t="s">
        <v>643</v>
      </c>
      <c r="Z156" s="85" t="str">
        <f>HYPERLINK("https://twitter.com/sdelagrave/status/1446974642279833603")</f>
        <v>https://twitter.com/sdelagrave/status/1446974642279833603</v>
      </c>
      <c r="AA156" s="80"/>
      <c r="AB156" s="80"/>
      <c r="AC156" s="83" t="s">
        <v>826</v>
      </c>
      <c r="AD156" s="80"/>
      <c r="AE156" s="80" t="b">
        <v>0</v>
      </c>
      <c r="AF156" s="80">
        <v>0</v>
      </c>
      <c r="AG156" s="83" t="s">
        <v>952</v>
      </c>
      <c r="AH156" s="80" t="b">
        <v>0</v>
      </c>
      <c r="AI156" s="80" t="s">
        <v>967</v>
      </c>
      <c r="AJ156" s="80"/>
      <c r="AK156" s="83" t="s">
        <v>952</v>
      </c>
      <c r="AL156" s="80" t="b">
        <v>0</v>
      </c>
      <c r="AM156" s="80">
        <v>1</v>
      </c>
      <c r="AN156" s="83" t="s">
        <v>900</v>
      </c>
      <c r="AO156" s="83" t="s">
        <v>976</v>
      </c>
      <c r="AP156" s="80" t="b">
        <v>0</v>
      </c>
      <c r="AQ156" s="83" t="s">
        <v>900</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9">
        <v>0</v>
      </c>
      <c r="BG156" s="50">
        <v>0</v>
      </c>
      <c r="BH156" s="49">
        <v>0</v>
      </c>
      <c r="BI156" s="50">
        <v>0</v>
      </c>
      <c r="BJ156" s="49">
        <v>0</v>
      </c>
      <c r="BK156" s="50">
        <v>0</v>
      </c>
      <c r="BL156" s="49">
        <v>34</v>
      </c>
      <c r="BM156" s="50">
        <v>100</v>
      </c>
      <c r="BN156" s="49">
        <v>34</v>
      </c>
    </row>
    <row r="157" spans="1:66" ht="15">
      <c r="A157" s="65" t="s">
        <v>307</v>
      </c>
      <c r="B157" s="65" t="s">
        <v>389</v>
      </c>
      <c r="C157" s="66" t="s">
        <v>2815</v>
      </c>
      <c r="D157" s="67">
        <v>3</v>
      </c>
      <c r="E157" s="66" t="s">
        <v>132</v>
      </c>
      <c r="F157" s="69">
        <v>32</v>
      </c>
      <c r="G157" s="66"/>
      <c r="H157" s="70"/>
      <c r="I157" s="71"/>
      <c r="J157" s="71"/>
      <c r="K157" s="35" t="s">
        <v>65</v>
      </c>
      <c r="L157" s="72">
        <v>157</v>
      </c>
      <c r="M157" s="72"/>
      <c r="N157" s="73"/>
      <c r="O157" s="80" t="s">
        <v>406</v>
      </c>
      <c r="P157" s="82">
        <v>44478.13993055555</v>
      </c>
      <c r="Q157" s="80" t="s">
        <v>451</v>
      </c>
      <c r="R157" s="85" t="str">
        <f>HYPERLINK("https://www.linkedin.com/pulse/gfis-attempt-dismiss-counter-story-cell-based-meat-paul-wood-ao")</f>
        <v>https://www.linkedin.com/pulse/gfis-attempt-dismiss-counter-story-cell-based-meat-paul-wood-ao</v>
      </c>
      <c r="S157" s="80" t="s">
        <v>522</v>
      </c>
      <c r="T157" s="80"/>
      <c r="U157" s="80"/>
      <c r="V157" s="85" t="str">
        <f>HYPERLINK("https://pbs.twimg.com/profile_images/707096446005170176/qy74n7N3_normal.jpg")</f>
        <v>https://pbs.twimg.com/profile_images/707096446005170176/qy74n7N3_normal.jpg</v>
      </c>
      <c r="W157" s="82">
        <v>44478.13993055555</v>
      </c>
      <c r="X157" s="87">
        <v>44478</v>
      </c>
      <c r="Y157" s="83" t="s">
        <v>644</v>
      </c>
      <c r="Z157" s="85" t="str">
        <f>HYPERLINK("https://twitter.com/paulwood1508/status/1446677173750796289")</f>
        <v>https://twitter.com/paulwood1508/status/1446677173750796289</v>
      </c>
      <c r="AA157" s="80"/>
      <c r="AB157" s="80"/>
      <c r="AC157" s="83" t="s">
        <v>827</v>
      </c>
      <c r="AD157" s="80"/>
      <c r="AE157" s="80" t="b">
        <v>0</v>
      </c>
      <c r="AF157" s="80">
        <v>1</v>
      </c>
      <c r="AG157" s="83" t="s">
        <v>952</v>
      </c>
      <c r="AH157" s="80" t="b">
        <v>0</v>
      </c>
      <c r="AI157" s="80" t="s">
        <v>967</v>
      </c>
      <c r="AJ157" s="80"/>
      <c r="AK157" s="83" t="s">
        <v>952</v>
      </c>
      <c r="AL157" s="80" t="b">
        <v>0</v>
      </c>
      <c r="AM157" s="80">
        <v>1</v>
      </c>
      <c r="AN157" s="83" t="s">
        <v>952</v>
      </c>
      <c r="AO157" s="83" t="s">
        <v>972</v>
      </c>
      <c r="AP157" s="80" t="b">
        <v>0</v>
      </c>
      <c r="AQ157" s="83" t="s">
        <v>827</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8</v>
      </c>
      <c r="BE157" s="79" t="str">
        <f>REPLACE(INDEX(GroupVertices[Group],MATCH(Edges[[#This Row],[Vertex 2]],GroupVertices[Vertex],0)),1,1,"")</f>
        <v>8</v>
      </c>
      <c r="BF157" s="49">
        <v>0</v>
      </c>
      <c r="BG157" s="50">
        <v>0</v>
      </c>
      <c r="BH157" s="49">
        <v>0</v>
      </c>
      <c r="BI157" s="50">
        <v>0</v>
      </c>
      <c r="BJ157" s="49">
        <v>0</v>
      </c>
      <c r="BK157" s="50">
        <v>0</v>
      </c>
      <c r="BL157" s="49">
        <v>18</v>
      </c>
      <c r="BM157" s="50">
        <v>100</v>
      </c>
      <c r="BN157" s="49">
        <v>18</v>
      </c>
    </row>
    <row r="158" spans="1:66" ht="15">
      <c r="A158" s="65" t="s">
        <v>307</v>
      </c>
      <c r="B158" s="65" t="s">
        <v>391</v>
      </c>
      <c r="C158" s="66" t="s">
        <v>2815</v>
      </c>
      <c r="D158" s="67">
        <v>3</v>
      </c>
      <c r="E158" s="66" t="s">
        <v>132</v>
      </c>
      <c r="F158" s="69">
        <v>32</v>
      </c>
      <c r="G158" s="66"/>
      <c r="H158" s="70"/>
      <c r="I158" s="71"/>
      <c r="J158" s="71"/>
      <c r="K158" s="35" t="s">
        <v>65</v>
      </c>
      <c r="L158" s="72">
        <v>158</v>
      </c>
      <c r="M158" s="72"/>
      <c r="N158" s="73"/>
      <c r="O158" s="80" t="s">
        <v>406</v>
      </c>
      <c r="P158" s="82">
        <v>44479.22484953704</v>
      </c>
      <c r="Q158" s="80" t="s">
        <v>456</v>
      </c>
      <c r="R158" s="80"/>
      <c r="S158" s="80"/>
      <c r="T158" s="80"/>
      <c r="U158" s="80"/>
      <c r="V158" s="85" t="str">
        <f>HYPERLINK("https://pbs.twimg.com/profile_images/707096446005170176/qy74n7N3_normal.jpg")</f>
        <v>https://pbs.twimg.com/profile_images/707096446005170176/qy74n7N3_normal.jpg</v>
      </c>
      <c r="W158" s="82">
        <v>44479.22484953704</v>
      </c>
      <c r="X158" s="87">
        <v>44479</v>
      </c>
      <c r="Y158" s="83" t="s">
        <v>645</v>
      </c>
      <c r="Z158" s="85" t="str">
        <f>HYPERLINK("https://twitter.com/paulwood1508/status/1447070331923886086")</f>
        <v>https://twitter.com/paulwood1508/status/1447070331923886086</v>
      </c>
      <c r="AA158" s="80"/>
      <c r="AB158" s="80"/>
      <c r="AC158" s="83" t="s">
        <v>828</v>
      </c>
      <c r="AD158" s="83" t="s">
        <v>942</v>
      </c>
      <c r="AE158" s="80" t="b">
        <v>0</v>
      </c>
      <c r="AF158" s="80">
        <v>1</v>
      </c>
      <c r="AG158" s="83" t="s">
        <v>959</v>
      </c>
      <c r="AH158" s="80" t="b">
        <v>0</v>
      </c>
      <c r="AI158" s="80" t="s">
        <v>967</v>
      </c>
      <c r="AJ158" s="80"/>
      <c r="AK158" s="83" t="s">
        <v>952</v>
      </c>
      <c r="AL158" s="80" t="b">
        <v>0</v>
      </c>
      <c r="AM158" s="80">
        <v>0</v>
      </c>
      <c r="AN158" s="83" t="s">
        <v>952</v>
      </c>
      <c r="AO158" s="83" t="s">
        <v>972</v>
      </c>
      <c r="AP158" s="80" t="b">
        <v>0</v>
      </c>
      <c r="AQ158" s="83" t="s">
        <v>942</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8</v>
      </c>
      <c r="BE158" s="79" t="str">
        <f>REPLACE(INDEX(GroupVertices[Group],MATCH(Edges[[#This Row],[Vertex 2]],GroupVertices[Vertex],0)),1,1,"")</f>
        <v>8</v>
      </c>
      <c r="BF158" s="49"/>
      <c r="BG158" s="50"/>
      <c r="BH158" s="49"/>
      <c r="BI158" s="50"/>
      <c r="BJ158" s="49"/>
      <c r="BK158" s="50"/>
      <c r="BL158" s="49"/>
      <c r="BM158" s="50"/>
      <c r="BN158" s="49"/>
    </row>
    <row r="159" spans="1:66" ht="15">
      <c r="A159" s="65" t="s">
        <v>307</v>
      </c>
      <c r="B159" s="65" t="s">
        <v>392</v>
      </c>
      <c r="C159" s="66" t="s">
        <v>2815</v>
      </c>
      <c r="D159" s="67">
        <v>3</v>
      </c>
      <c r="E159" s="66" t="s">
        <v>132</v>
      </c>
      <c r="F159" s="69">
        <v>32</v>
      </c>
      <c r="G159" s="66"/>
      <c r="H159" s="70"/>
      <c r="I159" s="71"/>
      <c r="J159" s="71"/>
      <c r="K159" s="35" t="s">
        <v>65</v>
      </c>
      <c r="L159" s="72">
        <v>159</v>
      </c>
      <c r="M159" s="72"/>
      <c r="N159" s="73"/>
      <c r="O159" s="80" t="s">
        <v>406</v>
      </c>
      <c r="P159" s="82">
        <v>44479.22484953704</v>
      </c>
      <c r="Q159" s="80" t="s">
        <v>456</v>
      </c>
      <c r="R159" s="80"/>
      <c r="S159" s="80"/>
      <c r="T159" s="80"/>
      <c r="U159" s="80"/>
      <c r="V159" s="85" t="str">
        <f>HYPERLINK("https://pbs.twimg.com/profile_images/707096446005170176/qy74n7N3_normal.jpg")</f>
        <v>https://pbs.twimg.com/profile_images/707096446005170176/qy74n7N3_normal.jpg</v>
      </c>
      <c r="W159" s="82">
        <v>44479.22484953704</v>
      </c>
      <c r="X159" s="87">
        <v>44479</v>
      </c>
      <c r="Y159" s="83" t="s">
        <v>645</v>
      </c>
      <c r="Z159" s="85" t="str">
        <f>HYPERLINK("https://twitter.com/paulwood1508/status/1447070331923886086")</f>
        <v>https://twitter.com/paulwood1508/status/1447070331923886086</v>
      </c>
      <c r="AA159" s="80"/>
      <c r="AB159" s="80"/>
      <c r="AC159" s="83" t="s">
        <v>828</v>
      </c>
      <c r="AD159" s="83" t="s">
        <v>942</v>
      </c>
      <c r="AE159" s="80" t="b">
        <v>0</v>
      </c>
      <c r="AF159" s="80">
        <v>1</v>
      </c>
      <c r="AG159" s="83" t="s">
        <v>959</v>
      </c>
      <c r="AH159" s="80" t="b">
        <v>0</v>
      </c>
      <c r="AI159" s="80" t="s">
        <v>967</v>
      </c>
      <c r="AJ159" s="80"/>
      <c r="AK159" s="83" t="s">
        <v>952</v>
      </c>
      <c r="AL159" s="80" t="b">
        <v>0</v>
      </c>
      <c r="AM159" s="80">
        <v>0</v>
      </c>
      <c r="AN159" s="83" t="s">
        <v>952</v>
      </c>
      <c r="AO159" s="83" t="s">
        <v>972</v>
      </c>
      <c r="AP159" s="80" t="b">
        <v>0</v>
      </c>
      <c r="AQ159" s="83" t="s">
        <v>942</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8</v>
      </c>
      <c r="BE159" s="79" t="str">
        <f>REPLACE(INDEX(GroupVertices[Group],MATCH(Edges[[#This Row],[Vertex 2]],GroupVertices[Vertex],0)),1,1,"")</f>
        <v>8</v>
      </c>
      <c r="BF159" s="49"/>
      <c r="BG159" s="50"/>
      <c r="BH159" s="49"/>
      <c r="BI159" s="50"/>
      <c r="BJ159" s="49"/>
      <c r="BK159" s="50"/>
      <c r="BL159" s="49"/>
      <c r="BM159" s="50"/>
      <c r="BN159" s="49"/>
    </row>
    <row r="160" spans="1:66" ht="15">
      <c r="A160" s="65" t="s">
        <v>307</v>
      </c>
      <c r="B160" s="65" t="s">
        <v>393</v>
      </c>
      <c r="C160" s="66" t="s">
        <v>2815</v>
      </c>
      <c r="D160" s="67">
        <v>3</v>
      </c>
      <c r="E160" s="66" t="s">
        <v>132</v>
      </c>
      <c r="F160" s="69">
        <v>32</v>
      </c>
      <c r="G160" s="66"/>
      <c r="H160" s="70"/>
      <c r="I160" s="71"/>
      <c r="J160" s="71"/>
      <c r="K160" s="35" t="s">
        <v>65</v>
      </c>
      <c r="L160" s="72">
        <v>160</v>
      </c>
      <c r="M160" s="72"/>
      <c r="N160" s="73"/>
      <c r="O160" s="80" t="s">
        <v>409</v>
      </c>
      <c r="P160" s="82">
        <v>44479.22484953704</v>
      </c>
      <c r="Q160" s="80" t="s">
        <v>456</v>
      </c>
      <c r="R160" s="80"/>
      <c r="S160" s="80"/>
      <c r="T160" s="80"/>
      <c r="U160" s="80"/>
      <c r="V160" s="85" t="str">
        <f>HYPERLINK("https://pbs.twimg.com/profile_images/707096446005170176/qy74n7N3_normal.jpg")</f>
        <v>https://pbs.twimg.com/profile_images/707096446005170176/qy74n7N3_normal.jpg</v>
      </c>
      <c r="W160" s="82">
        <v>44479.22484953704</v>
      </c>
      <c r="X160" s="87">
        <v>44479</v>
      </c>
      <c r="Y160" s="83" t="s">
        <v>645</v>
      </c>
      <c r="Z160" s="85" t="str">
        <f>HYPERLINK("https://twitter.com/paulwood1508/status/1447070331923886086")</f>
        <v>https://twitter.com/paulwood1508/status/1447070331923886086</v>
      </c>
      <c r="AA160" s="80"/>
      <c r="AB160" s="80"/>
      <c r="AC160" s="83" t="s">
        <v>828</v>
      </c>
      <c r="AD160" s="83" t="s">
        <v>942</v>
      </c>
      <c r="AE160" s="80" t="b">
        <v>0</v>
      </c>
      <c r="AF160" s="80">
        <v>1</v>
      </c>
      <c r="AG160" s="83" t="s">
        <v>959</v>
      </c>
      <c r="AH160" s="80" t="b">
        <v>0</v>
      </c>
      <c r="AI160" s="80" t="s">
        <v>967</v>
      </c>
      <c r="AJ160" s="80"/>
      <c r="AK160" s="83" t="s">
        <v>952</v>
      </c>
      <c r="AL160" s="80" t="b">
        <v>0</v>
      </c>
      <c r="AM160" s="80">
        <v>0</v>
      </c>
      <c r="AN160" s="83" t="s">
        <v>952</v>
      </c>
      <c r="AO160" s="83" t="s">
        <v>972</v>
      </c>
      <c r="AP160" s="80" t="b">
        <v>0</v>
      </c>
      <c r="AQ160" s="83" t="s">
        <v>942</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8</v>
      </c>
      <c r="BE160" s="79" t="str">
        <f>REPLACE(INDEX(GroupVertices[Group],MATCH(Edges[[#This Row],[Vertex 2]],GroupVertices[Vertex],0)),1,1,"")</f>
        <v>8</v>
      </c>
      <c r="BF160" s="49">
        <v>0</v>
      </c>
      <c r="BG160" s="50">
        <v>0</v>
      </c>
      <c r="BH160" s="49">
        <v>1</v>
      </c>
      <c r="BI160" s="50">
        <v>5</v>
      </c>
      <c r="BJ160" s="49">
        <v>0</v>
      </c>
      <c r="BK160" s="50">
        <v>0</v>
      </c>
      <c r="BL160" s="49">
        <v>19</v>
      </c>
      <c r="BM160" s="50">
        <v>95</v>
      </c>
      <c r="BN160" s="49">
        <v>20</v>
      </c>
    </row>
    <row r="161" spans="1:66" ht="15">
      <c r="A161" s="65" t="s">
        <v>308</v>
      </c>
      <c r="B161" s="65" t="s">
        <v>361</v>
      </c>
      <c r="C161" s="66" t="s">
        <v>2815</v>
      </c>
      <c r="D161" s="67">
        <v>3</v>
      </c>
      <c r="E161" s="66" t="s">
        <v>132</v>
      </c>
      <c r="F161" s="69">
        <v>32</v>
      </c>
      <c r="G161" s="66"/>
      <c r="H161" s="70"/>
      <c r="I161" s="71"/>
      <c r="J161" s="71"/>
      <c r="K161" s="35" t="s">
        <v>65</v>
      </c>
      <c r="L161" s="72">
        <v>161</v>
      </c>
      <c r="M161" s="72"/>
      <c r="N161" s="73"/>
      <c r="O161" s="80" t="s">
        <v>407</v>
      </c>
      <c r="P161" s="82">
        <v>44479.252384259256</v>
      </c>
      <c r="Q161" s="80" t="s">
        <v>454</v>
      </c>
      <c r="R161" s="85" t="str">
        <f>HYPERLINK("https://vegnews.com/2021/10/ashton-kutcher-cell-based-meat")</f>
        <v>https://vegnews.com/2021/10/ashton-kutcher-cell-based-meat</v>
      </c>
      <c r="S161" s="80" t="s">
        <v>532</v>
      </c>
      <c r="T161" s="83" t="s">
        <v>558</v>
      </c>
      <c r="U161" s="80"/>
      <c r="V161" s="85" t="str">
        <f>HYPERLINK("https://pbs.twimg.com/profile_images/523095595616329728/_pnP48fE_normal.jpeg")</f>
        <v>https://pbs.twimg.com/profile_images/523095595616329728/_pnP48fE_normal.jpeg</v>
      </c>
      <c r="W161" s="82">
        <v>44479.252384259256</v>
      </c>
      <c r="X161" s="87">
        <v>44479</v>
      </c>
      <c r="Y161" s="83" t="s">
        <v>646</v>
      </c>
      <c r="Z161" s="85" t="str">
        <f>HYPERLINK("https://twitter.com/carlokarl/status/1447080313717497858")</f>
        <v>https://twitter.com/carlokarl/status/1447080313717497858</v>
      </c>
      <c r="AA161" s="80"/>
      <c r="AB161" s="80"/>
      <c r="AC161" s="83" t="s">
        <v>829</v>
      </c>
      <c r="AD161" s="80"/>
      <c r="AE161" s="80" t="b">
        <v>0</v>
      </c>
      <c r="AF161" s="80">
        <v>0</v>
      </c>
      <c r="AG161" s="83" t="s">
        <v>952</v>
      </c>
      <c r="AH161" s="80" t="b">
        <v>0</v>
      </c>
      <c r="AI161" s="80" t="s">
        <v>967</v>
      </c>
      <c r="AJ161" s="80"/>
      <c r="AK161" s="83" t="s">
        <v>952</v>
      </c>
      <c r="AL161" s="80" t="b">
        <v>0</v>
      </c>
      <c r="AM161" s="80">
        <v>6</v>
      </c>
      <c r="AN161" s="83" t="s">
        <v>931</v>
      </c>
      <c r="AO161" s="83" t="s">
        <v>979</v>
      </c>
      <c r="AP161" s="80" t="b">
        <v>0</v>
      </c>
      <c r="AQ161" s="83" t="s">
        <v>931</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4</v>
      </c>
      <c r="BE161" s="79" t="str">
        <f>REPLACE(INDEX(GroupVertices[Group],MATCH(Edges[[#This Row],[Vertex 2]],GroupVertices[Vertex],0)),1,1,"")</f>
        <v>4</v>
      </c>
      <c r="BF161" s="49"/>
      <c r="BG161" s="50"/>
      <c r="BH161" s="49"/>
      <c r="BI161" s="50"/>
      <c r="BJ161" s="49"/>
      <c r="BK161" s="50"/>
      <c r="BL161" s="49"/>
      <c r="BM161" s="50"/>
      <c r="BN161" s="49"/>
    </row>
    <row r="162" spans="1:66" ht="15">
      <c r="A162" s="65" t="s">
        <v>308</v>
      </c>
      <c r="B162" s="65" t="s">
        <v>390</v>
      </c>
      <c r="C162" s="66" t="s">
        <v>2815</v>
      </c>
      <c r="D162" s="67">
        <v>3</v>
      </c>
      <c r="E162" s="66" t="s">
        <v>132</v>
      </c>
      <c r="F162" s="69">
        <v>32</v>
      </c>
      <c r="G162" s="66"/>
      <c r="H162" s="70"/>
      <c r="I162" s="71"/>
      <c r="J162" s="71"/>
      <c r="K162" s="35" t="s">
        <v>65</v>
      </c>
      <c r="L162" s="72">
        <v>162</v>
      </c>
      <c r="M162" s="72"/>
      <c r="N162" s="73"/>
      <c r="O162" s="80" t="s">
        <v>407</v>
      </c>
      <c r="P162" s="82">
        <v>44479.252384259256</v>
      </c>
      <c r="Q162" s="80" t="s">
        <v>454</v>
      </c>
      <c r="R162" s="85" t="str">
        <f>HYPERLINK("https://vegnews.com/2021/10/ashton-kutcher-cell-based-meat")</f>
        <v>https://vegnews.com/2021/10/ashton-kutcher-cell-based-meat</v>
      </c>
      <c r="S162" s="80" t="s">
        <v>532</v>
      </c>
      <c r="T162" s="83" t="s">
        <v>558</v>
      </c>
      <c r="U162" s="80"/>
      <c r="V162" s="85" t="str">
        <f>HYPERLINK("https://pbs.twimg.com/profile_images/523095595616329728/_pnP48fE_normal.jpeg")</f>
        <v>https://pbs.twimg.com/profile_images/523095595616329728/_pnP48fE_normal.jpeg</v>
      </c>
      <c r="W162" s="82">
        <v>44479.252384259256</v>
      </c>
      <c r="X162" s="87">
        <v>44479</v>
      </c>
      <c r="Y162" s="83" t="s">
        <v>646</v>
      </c>
      <c r="Z162" s="85" t="str">
        <f>HYPERLINK("https://twitter.com/carlokarl/status/1447080313717497858")</f>
        <v>https://twitter.com/carlokarl/status/1447080313717497858</v>
      </c>
      <c r="AA162" s="80"/>
      <c r="AB162" s="80"/>
      <c r="AC162" s="83" t="s">
        <v>829</v>
      </c>
      <c r="AD162" s="80"/>
      <c r="AE162" s="80" t="b">
        <v>0</v>
      </c>
      <c r="AF162" s="80">
        <v>0</v>
      </c>
      <c r="AG162" s="83" t="s">
        <v>952</v>
      </c>
      <c r="AH162" s="80" t="b">
        <v>0</v>
      </c>
      <c r="AI162" s="80" t="s">
        <v>967</v>
      </c>
      <c r="AJ162" s="80"/>
      <c r="AK162" s="83" t="s">
        <v>952</v>
      </c>
      <c r="AL162" s="80" t="b">
        <v>0</v>
      </c>
      <c r="AM162" s="80">
        <v>6</v>
      </c>
      <c r="AN162" s="83" t="s">
        <v>931</v>
      </c>
      <c r="AO162" s="83" t="s">
        <v>979</v>
      </c>
      <c r="AP162" s="80" t="b">
        <v>0</v>
      </c>
      <c r="AQ162" s="83" t="s">
        <v>931</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4</v>
      </c>
      <c r="BE162" s="79" t="str">
        <f>REPLACE(INDEX(GroupVertices[Group],MATCH(Edges[[#This Row],[Vertex 2]],GroupVertices[Vertex],0)),1,1,"")</f>
        <v>4</v>
      </c>
      <c r="BF162" s="49"/>
      <c r="BG162" s="50"/>
      <c r="BH162" s="49"/>
      <c r="BI162" s="50"/>
      <c r="BJ162" s="49"/>
      <c r="BK162" s="50"/>
      <c r="BL162" s="49"/>
      <c r="BM162" s="50"/>
      <c r="BN162" s="49"/>
    </row>
    <row r="163" spans="1:66" ht="15">
      <c r="A163" s="65" t="s">
        <v>308</v>
      </c>
      <c r="B163" s="65" t="s">
        <v>362</v>
      </c>
      <c r="C163" s="66" t="s">
        <v>2815</v>
      </c>
      <c r="D163" s="67">
        <v>3</v>
      </c>
      <c r="E163" s="66" t="s">
        <v>132</v>
      </c>
      <c r="F163" s="69">
        <v>32</v>
      </c>
      <c r="G163" s="66"/>
      <c r="H163" s="70"/>
      <c r="I163" s="71"/>
      <c r="J163" s="71"/>
      <c r="K163" s="35" t="s">
        <v>65</v>
      </c>
      <c r="L163" s="72">
        <v>163</v>
      </c>
      <c r="M163" s="72"/>
      <c r="N163" s="73"/>
      <c r="O163" s="80" t="s">
        <v>408</v>
      </c>
      <c r="P163" s="82">
        <v>44479.252384259256</v>
      </c>
      <c r="Q163" s="80" t="s">
        <v>454</v>
      </c>
      <c r="R163" s="85" t="str">
        <f>HYPERLINK("https://vegnews.com/2021/10/ashton-kutcher-cell-based-meat")</f>
        <v>https://vegnews.com/2021/10/ashton-kutcher-cell-based-meat</v>
      </c>
      <c r="S163" s="80" t="s">
        <v>532</v>
      </c>
      <c r="T163" s="83" t="s">
        <v>558</v>
      </c>
      <c r="U163" s="80"/>
      <c r="V163" s="85" t="str">
        <f>HYPERLINK("https://pbs.twimg.com/profile_images/523095595616329728/_pnP48fE_normal.jpeg")</f>
        <v>https://pbs.twimg.com/profile_images/523095595616329728/_pnP48fE_normal.jpeg</v>
      </c>
      <c r="W163" s="82">
        <v>44479.252384259256</v>
      </c>
      <c r="X163" s="87">
        <v>44479</v>
      </c>
      <c r="Y163" s="83" t="s">
        <v>646</v>
      </c>
      <c r="Z163" s="85" t="str">
        <f>HYPERLINK("https://twitter.com/carlokarl/status/1447080313717497858")</f>
        <v>https://twitter.com/carlokarl/status/1447080313717497858</v>
      </c>
      <c r="AA163" s="80"/>
      <c r="AB163" s="80"/>
      <c r="AC163" s="83" t="s">
        <v>829</v>
      </c>
      <c r="AD163" s="80"/>
      <c r="AE163" s="80" t="b">
        <v>0</v>
      </c>
      <c r="AF163" s="80">
        <v>0</v>
      </c>
      <c r="AG163" s="83" t="s">
        <v>952</v>
      </c>
      <c r="AH163" s="80" t="b">
        <v>0</v>
      </c>
      <c r="AI163" s="80" t="s">
        <v>967</v>
      </c>
      <c r="AJ163" s="80"/>
      <c r="AK163" s="83" t="s">
        <v>952</v>
      </c>
      <c r="AL163" s="80" t="b">
        <v>0</v>
      </c>
      <c r="AM163" s="80">
        <v>6</v>
      </c>
      <c r="AN163" s="83" t="s">
        <v>931</v>
      </c>
      <c r="AO163" s="83" t="s">
        <v>979</v>
      </c>
      <c r="AP163" s="80" t="b">
        <v>0</v>
      </c>
      <c r="AQ163" s="83" t="s">
        <v>931</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4</v>
      </c>
      <c r="BE163" s="79" t="str">
        <f>REPLACE(INDEX(GroupVertices[Group],MATCH(Edges[[#This Row],[Vertex 2]],GroupVertices[Vertex],0)),1,1,"")</f>
        <v>4</v>
      </c>
      <c r="BF163" s="49">
        <v>1</v>
      </c>
      <c r="BG163" s="50">
        <v>5.555555555555555</v>
      </c>
      <c r="BH163" s="49">
        <v>0</v>
      </c>
      <c r="BI163" s="50">
        <v>0</v>
      </c>
      <c r="BJ163" s="49">
        <v>0</v>
      </c>
      <c r="BK163" s="50">
        <v>0</v>
      </c>
      <c r="BL163" s="49">
        <v>17</v>
      </c>
      <c r="BM163" s="50">
        <v>94.44444444444444</v>
      </c>
      <c r="BN163" s="49">
        <v>18</v>
      </c>
    </row>
    <row r="164" spans="1:66" ht="15">
      <c r="A164" s="65" t="s">
        <v>309</v>
      </c>
      <c r="B164" s="65" t="s">
        <v>309</v>
      </c>
      <c r="C164" s="66" t="s">
        <v>2816</v>
      </c>
      <c r="D164" s="67">
        <v>6.5</v>
      </c>
      <c r="E164" s="66" t="s">
        <v>136</v>
      </c>
      <c r="F164" s="69">
        <v>28.75</v>
      </c>
      <c r="G164" s="66"/>
      <c r="H164" s="70"/>
      <c r="I164" s="71"/>
      <c r="J164" s="71"/>
      <c r="K164" s="35" t="s">
        <v>65</v>
      </c>
      <c r="L164" s="72">
        <v>164</v>
      </c>
      <c r="M164" s="72"/>
      <c r="N164" s="73"/>
      <c r="O164" s="80" t="s">
        <v>196</v>
      </c>
      <c r="P164" s="82">
        <v>44479.27074074074</v>
      </c>
      <c r="Q164" s="80" t="s">
        <v>457</v>
      </c>
      <c r="R164" s="80"/>
      <c r="S164" s="80"/>
      <c r="T164" s="80"/>
      <c r="U164" s="80"/>
      <c r="V164" s="85" t="str">
        <f>HYPERLINK("https://pbs.twimg.com/profile_images/762787443305132032/VUiES7w9_normal.jpg")</f>
        <v>https://pbs.twimg.com/profile_images/762787443305132032/VUiES7w9_normal.jpg</v>
      </c>
      <c r="W164" s="82">
        <v>44479.27074074074</v>
      </c>
      <c r="X164" s="87">
        <v>44479</v>
      </c>
      <c r="Y164" s="83" t="s">
        <v>647</v>
      </c>
      <c r="Z164" s="85" t="str">
        <f>HYPERLINK("https://twitter.com/upcells/status/1447086965740826626")</f>
        <v>https://twitter.com/upcells/status/1447086965740826626</v>
      </c>
      <c r="AA164" s="80"/>
      <c r="AB164" s="80"/>
      <c r="AC164" s="83" t="s">
        <v>830</v>
      </c>
      <c r="AD164" s="83" t="s">
        <v>943</v>
      </c>
      <c r="AE164" s="80" t="b">
        <v>0</v>
      </c>
      <c r="AF164" s="80">
        <v>6</v>
      </c>
      <c r="AG164" s="83" t="s">
        <v>960</v>
      </c>
      <c r="AH164" s="80" t="b">
        <v>0</v>
      </c>
      <c r="AI164" s="80" t="s">
        <v>967</v>
      </c>
      <c r="AJ164" s="80"/>
      <c r="AK164" s="83" t="s">
        <v>952</v>
      </c>
      <c r="AL164" s="80" t="b">
        <v>0</v>
      </c>
      <c r="AM164" s="80">
        <v>1</v>
      </c>
      <c r="AN164" s="83" t="s">
        <v>952</v>
      </c>
      <c r="AO164" s="83" t="s">
        <v>972</v>
      </c>
      <c r="AP164" s="80" t="b">
        <v>0</v>
      </c>
      <c r="AQ164" s="83" t="s">
        <v>943</v>
      </c>
      <c r="AR164" s="80" t="s">
        <v>196</v>
      </c>
      <c r="AS164" s="80">
        <v>0</v>
      </c>
      <c r="AT164" s="80">
        <v>0</v>
      </c>
      <c r="AU164" s="80"/>
      <c r="AV164" s="80"/>
      <c r="AW164" s="80"/>
      <c r="AX164" s="80"/>
      <c r="AY164" s="80"/>
      <c r="AZ164" s="80"/>
      <c r="BA164" s="80"/>
      <c r="BB164" s="80"/>
      <c r="BC164">
        <v>2</v>
      </c>
      <c r="BD164" s="79" t="str">
        <f>REPLACE(INDEX(GroupVertices[Group],MATCH(Edges[[#This Row],[Vertex 1]],GroupVertices[Vertex],0)),1,1,"")</f>
        <v>18</v>
      </c>
      <c r="BE164" s="79" t="str">
        <f>REPLACE(INDEX(GroupVertices[Group],MATCH(Edges[[#This Row],[Vertex 2]],GroupVertices[Vertex],0)),1,1,"")</f>
        <v>18</v>
      </c>
      <c r="BF164" s="49">
        <v>1</v>
      </c>
      <c r="BG164" s="50">
        <v>3.225806451612903</v>
      </c>
      <c r="BH164" s="49">
        <v>0</v>
      </c>
      <c r="BI164" s="50">
        <v>0</v>
      </c>
      <c r="BJ164" s="49">
        <v>0</v>
      </c>
      <c r="BK164" s="50">
        <v>0</v>
      </c>
      <c r="BL164" s="49">
        <v>30</v>
      </c>
      <c r="BM164" s="50">
        <v>96.7741935483871</v>
      </c>
      <c r="BN164" s="49">
        <v>31</v>
      </c>
    </row>
    <row r="165" spans="1:66" ht="15">
      <c r="A165" s="65" t="s">
        <v>309</v>
      </c>
      <c r="B165" s="65" t="s">
        <v>309</v>
      </c>
      <c r="C165" s="66" t="s">
        <v>2816</v>
      </c>
      <c r="D165" s="67">
        <v>6.5</v>
      </c>
      <c r="E165" s="66" t="s">
        <v>136</v>
      </c>
      <c r="F165" s="69">
        <v>28.75</v>
      </c>
      <c r="G165" s="66"/>
      <c r="H165" s="70"/>
      <c r="I165" s="71"/>
      <c r="J165" s="71"/>
      <c r="K165" s="35" t="s">
        <v>65</v>
      </c>
      <c r="L165" s="72">
        <v>165</v>
      </c>
      <c r="M165" s="72"/>
      <c r="N165" s="73"/>
      <c r="O165" s="80" t="s">
        <v>196</v>
      </c>
      <c r="P165" s="82">
        <v>44479.279386574075</v>
      </c>
      <c r="Q165" s="80" t="s">
        <v>458</v>
      </c>
      <c r="R165" s="80"/>
      <c r="S165" s="80"/>
      <c r="T165" s="80"/>
      <c r="U165" s="80"/>
      <c r="V165" s="85" t="str">
        <f>HYPERLINK("https://pbs.twimg.com/profile_images/762787443305132032/VUiES7w9_normal.jpg")</f>
        <v>https://pbs.twimg.com/profile_images/762787443305132032/VUiES7w9_normal.jpg</v>
      </c>
      <c r="W165" s="82">
        <v>44479.279386574075</v>
      </c>
      <c r="X165" s="87">
        <v>44479</v>
      </c>
      <c r="Y165" s="83" t="s">
        <v>648</v>
      </c>
      <c r="Z165" s="85" t="str">
        <f>HYPERLINK("https://twitter.com/upcells/status/1447090098625925122")</f>
        <v>https://twitter.com/upcells/status/1447090098625925122</v>
      </c>
      <c r="AA165" s="80"/>
      <c r="AB165" s="80"/>
      <c r="AC165" s="83" t="s">
        <v>831</v>
      </c>
      <c r="AD165" s="83" t="s">
        <v>944</v>
      </c>
      <c r="AE165" s="80" t="b">
        <v>0</v>
      </c>
      <c r="AF165" s="80">
        <v>6</v>
      </c>
      <c r="AG165" s="83" t="s">
        <v>960</v>
      </c>
      <c r="AH165" s="80" t="b">
        <v>0</v>
      </c>
      <c r="AI165" s="80" t="s">
        <v>967</v>
      </c>
      <c r="AJ165" s="80"/>
      <c r="AK165" s="83" t="s">
        <v>952</v>
      </c>
      <c r="AL165" s="80" t="b">
        <v>0</v>
      </c>
      <c r="AM165" s="80">
        <v>1</v>
      </c>
      <c r="AN165" s="83" t="s">
        <v>952</v>
      </c>
      <c r="AO165" s="83" t="s">
        <v>972</v>
      </c>
      <c r="AP165" s="80" t="b">
        <v>0</v>
      </c>
      <c r="AQ165" s="83" t="s">
        <v>944</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18</v>
      </c>
      <c r="BE165" s="79" t="str">
        <f>REPLACE(INDEX(GroupVertices[Group],MATCH(Edges[[#This Row],[Vertex 2]],GroupVertices[Vertex],0)),1,1,"")</f>
        <v>18</v>
      </c>
      <c r="BF165" s="49">
        <v>3</v>
      </c>
      <c r="BG165" s="50">
        <v>6.666666666666667</v>
      </c>
      <c r="BH165" s="49">
        <v>0</v>
      </c>
      <c r="BI165" s="50">
        <v>0</v>
      </c>
      <c r="BJ165" s="49">
        <v>0</v>
      </c>
      <c r="BK165" s="50">
        <v>0</v>
      </c>
      <c r="BL165" s="49">
        <v>42</v>
      </c>
      <c r="BM165" s="50">
        <v>93.33333333333333</v>
      </c>
      <c r="BN165" s="49">
        <v>45</v>
      </c>
    </row>
    <row r="166" spans="1:66" ht="15">
      <c r="A166" s="65" t="s">
        <v>310</v>
      </c>
      <c r="B166" s="65" t="s">
        <v>309</v>
      </c>
      <c r="C166" s="66" t="s">
        <v>2816</v>
      </c>
      <c r="D166" s="67">
        <v>6.5</v>
      </c>
      <c r="E166" s="66" t="s">
        <v>136</v>
      </c>
      <c r="F166" s="69">
        <v>28.75</v>
      </c>
      <c r="G166" s="66"/>
      <c r="H166" s="70"/>
      <c r="I166" s="71"/>
      <c r="J166" s="71"/>
      <c r="K166" s="35" t="s">
        <v>65</v>
      </c>
      <c r="L166" s="72">
        <v>166</v>
      </c>
      <c r="M166" s="72"/>
      <c r="N166" s="73"/>
      <c r="O166" s="80" t="s">
        <v>408</v>
      </c>
      <c r="P166" s="82">
        <v>44479.29454861111</v>
      </c>
      <c r="Q166" s="80" t="s">
        <v>457</v>
      </c>
      <c r="R166" s="80"/>
      <c r="S166" s="80"/>
      <c r="T166" s="80"/>
      <c r="U166" s="80"/>
      <c r="V166" s="85" t="str">
        <f>HYPERLINK("https://pbs.twimg.com/profile_images/1434785434509340681/s7DHMbZw_normal.jpg")</f>
        <v>https://pbs.twimg.com/profile_images/1434785434509340681/s7DHMbZw_normal.jpg</v>
      </c>
      <c r="W166" s="82">
        <v>44479.29454861111</v>
      </c>
      <c r="X166" s="87">
        <v>44479</v>
      </c>
      <c r="Y166" s="83" t="s">
        <v>649</v>
      </c>
      <c r="Z166" s="85" t="str">
        <f>HYPERLINK("https://twitter.com/hoycristel/status/1447095589947133953")</f>
        <v>https://twitter.com/hoycristel/status/1447095589947133953</v>
      </c>
      <c r="AA166" s="80"/>
      <c r="AB166" s="80"/>
      <c r="AC166" s="83" t="s">
        <v>832</v>
      </c>
      <c r="AD166" s="80"/>
      <c r="AE166" s="80" t="b">
        <v>0</v>
      </c>
      <c r="AF166" s="80">
        <v>0</v>
      </c>
      <c r="AG166" s="83" t="s">
        <v>952</v>
      </c>
      <c r="AH166" s="80" t="b">
        <v>0</v>
      </c>
      <c r="AI166" s="80" t="s">
        <v>967</v>
      </c>
      <c r="AJ166" s="80"/>
      <c r="AK166" s="83" t="s">
        <v>952</v>
      </c>
      <c r="AL166" s="80" t="b">
        <v>0</v>
      </c>
      <c r="AM166" s="80">
        <v>1</v>
      </c>
      <c r="AN166" s="83" t="s">
        <v>830</v>
      </c>
      <c r="AO166" s="83" t="s">
        <v>979</v>
      </c>
      <c r="AP166" s="80" t="b">
        <v>0</v>
      </c>
      <c r="AQ166" s="83" t="s">
        <v>830</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18</v>
      </c>
      <c r="BE166" s="79" t="str">
        <f>REPLACE(INDEX(GroupVertices[Group],MATCH(Edges[[#This Row],[Vertex 2]],GroupVertices[Vertex],0)),1,1,"")</f>
        <v>18</v>
      </c>
      <c r="BF166" s="49">
        <v>1</v>
      </c>
      <c r="BG166" s="50">
        <v>3.225806451612903</v>
      </c>
      <c r="BH166" s="49">
        <v>0</v>
      </c>
      <c r="BI166" s="50">
        <v>0</v>
      </c>
      <c r="BJ166" s="49">
        <v>0</v>
      </c>
      <c r="BK166" s="50">
        <v>0</v>
      </c>
      <c r="BL166" s="49">
        <v>30</v>
      </c>
      <c r="BM166" s="50">
        <v>96.7741935483871</v>
      </c>
      <c r="BN166" s="49">
        <v>31</v>
      </c>
    </row>
    <row r="167" spans="1:66" ht="15">
      <c r="A167" s="65" t="s">
        <v>310</v>
      </c>
      <c r="B167" s="65" t="s">
        <v>309</v>
      </c>
      <c r="C167" s="66" t="s">
        <v>2816</v>
      </c>
      <c r="D167" s="67">
        <v>6.5</v>
      </c>
      <c r="E167" s="66" t="s">
        <v>136</v>
      </c>
      <c r="F167" s="69">
        <v>28.75</v>
      </c>
      <c r="G167" s="66"/>
      <c r="H167" s="70"/>
      <c r="I167" s="71"/>
      <c r="J167" s="71"/>
      <c r="K167" s="35" t="s">
        <v>65</v>
      </c>
      <c r="L167" s="72">
        <v>167</v>
      </c>
      <c r="M167" s="72"/>
      <c r="N167" s="73"/>
      <c r="O167" s="80" t="s">
        <v>408</v>
      </c>
      <c r="P167" s="82">
        <v>44479.29471064815</v>
      </c>
      <c r="Q167" s="80" t="s">
        <v>458</v>
      </c>
      <c r="R167" s="80"/>
      <c r="S167" s="80"/>
      <c r="T167" s="80"/>
      <c r="U167" s="80"/>
      <c r="V167" s="85" t="str">
        <f>HYPERLINK("https://pbs.twimg.com/profile_images/1434785434509340681/s7DHMbZw_normal.jpg")</f>
        <v>https://pbs.twimg.com/profile_images/1434785434509340681/s7DHMbZw_normal.jpg</v>
      </c>
      <c r="W167" s="82">
        <v>44479.29471064815</v>
      </c>
      <c r="X167" s="87">
        <v>44479</v>
      </c>
      <c r="Y167" s="83" t="s">
        <v>650</v>
      </c>
      <c r="Z167" s="85" t="str">
        <f>HYPERLINK("https://twitter.com/hoycristel/status/1447095648998723584")</f>
        <v>https://twitter.com/hoycristel/status/1447095648998723584</v>
      </c>
      <c r="AA167" s="80"/>
      <c r="AB167" s="80"/>
      <c r="AC167" s="83" t="s">
        <v>833</v>
      </c>
      <c r="AD167" s="80"/>
      <c r="AE167" s="80" t="b">
        <v>0</v>
      </c>
      <c r="AF167" s="80">
        <v>0</v>
      </c>
      <c r="AG167" s="83" t="s">
        <v>952</v>
      </c>
      <c r="AH167" s="80" t="b">
        <v>0</v>
      </c>
      <c r="AI167" s="80" t="s">
        <v>967</v>
      </c>
      <c r="AJ167" s="80"/>
      <c r="AK167" s="83" t="s">
        <v>952</v>
      </c>
      <c r="AL167" s="80" t="b">
        <v>0</v>
      </c>
      <c r="AM167" s="80">
        <v>1</v>
      </c>
      <c r="AN167" s="83" t="s">
        <v>831</v>
      </c>
      <c r="AO167" s="83" t="s">
        <v>979</v>
      </c>
      <c r="AP167" s="80" t="b">
        <v>0</v>
      </c>
      <c r="AQ167" s="83" t="s">
        <v>831</v>
      </c>
      <c r="AR167" s="80" t="s">
        <v>196</v>
      </c>
      <c r="AS167" s="80">
        <v>0</v>
      </c>
      <c r="AT167" s="80">
        <v>0</v>
      </c>
      <c r="AU167" s="80"/>
      <c r="AV167" s="80"/>
      <c r="AW167" s="80"/>
      <c r="AX167" s="80"/>
      <c r="AY167" s="80"/>
      <c r="AZ167" s="80"/>
      <c r="BA167" s="80"/>
      <c r="BB167" s="80"/>
      <c r="BC167">
        <v>2</v>
      </c>
      <c r="BD167" s="79" t="str">
        <f>REPLACE(INDEX(GroupVertices[Group],MATCH(Edges[[#This Row],[Vertex 1]],GroupVertices[Vertex],0)),1,1,"")</f>
        <v>18</v>
      </c>
      <c r="BE167" s="79" t="str">
        <f>REPLACE(INDEX(GroupVertices[Group],MATCH(Edges[[#This Row],[Vertex 2]],GroupVertices[Vertex],0)),1,1,"")</f>
        <v>18</v>
      </c>
      <c r="BF167" s="49">
        <v>3</v>
      </c>
      <c r="BG167" s="50">
        <v>6.666666666666667</v>
      </c>
      <c r="BH167" s="49">
        <v>0</v>
      </c>
      <c r="BI167" s="50">
        <v>0</v>
      </c>
      <c r="BJ167" s="49">
        <v>0</v>
      </c>
      <c r="BK167" s="50">
        <v>0</v>
      </c>
      <c r="BL167" s="49">
        <v>42</v>
      </c>
      <c r="BM167" s="50">
        <v>93.33333333333333</v>
      </c>
      <c r="BN167" s="49">
        <v>45</v>
      </c>
    </row>
    <row r="168" spans="1:66" ht="15">
      <c r="A168" s="65" t="s">
        <v>311</v>
      </c>
      <c r="B168" s="65" t="s">
        <v>362</v>
      </c>
      <c r="C168" s="66" t="s">
        <v>2815</v>
      </c>
      <c r="D168" s="67">
        <v>3</v>
      </c>
      <c r="E168" s="66" t="s">
        <v>132</v>
      </c>
      <c r="F168" s="69">
        <v>32</v>
      </c>
      <c r="G168" s="66"/>
      <c r="H168" s="70"/>
      <c r="I168" s="71"/>
      <c r="J168" s="71"/>
      <c r="K168" s="35" t="s">
        <v>65</v>
      </c>
      <c r="L168" s="72">
        <v>168</v>
      </c>
      <c r="M168" s="72"/>
      <c r="N168" s="73"/>
      <c r="O168" s="80" t="s">
        <v>406</v>
      </c>
      <c r="P168" s="82">
        <v>44478.92481481482</v>
      </c>
      <c r="Q168" s="80" t="s">
        <v>459</v>
      </c>
      <c r="R168" s="85" t="str">
        <f>HYPERLINK("https://vegnews.com/2021/10/ashton-kutcher-cell-based-meat")</f>
        <v>https://vegnews.com/2021/10/ashton-kutcher-cell-based-meat</v>
      </c>
      <c r="S168" s="80" t="s">
        <v>532</v>
      </c>
      <c r="T168" s="80"/>
      <c r="U168" s="80"/>
      <c r="V168" s="85" t="str">
        <f>HYPERLINK("https://pbs.twimg.com/profile_images/1423781100762112000/RPH1_nn-_normal.jpg")</f>
        <v>https://pbs.twimg.com/profile_images/1423781100762112000/RPH1_nn-_normal.jpg</v>
      </c>
      <c r="W168" s="82">
        <v>44478.92481481482</v>
      </c>
      <c r="X168" s="87">
        <v>44478</v>
      </c>
      <c r="Y168" s="83" t="s">
        <v>651</v>
      </c>
      <c r="Z168" s="85" t="str">
        <f>HYPERLINK("https://twitter.com/rtopitsch/status/1446961604998881280")</f>
        <v>https://twitter.com/rtopitsch/status/1446961604998881280</v>
      </c>
      <c r="AA168" s="80"/>
      <c r="AB168" s="80"/>
      <c r="AC168" s="83" t="s">
        <v>834</v>
      </c>
      <c r="AD168" s="80"/>
      <c r="AE168" s="80" t="b">
        <v>0</v>
      </c>
      <c r="AF168" s="80">
        <v>2</v>
      </c>
      <c r="AG168" s="83" t="s">
        <v>952</v>
      </c>
      <c r="AH168" s="80" t="b">
        <v>0</v>
      </c>
      <c r="AI168" s="80" t="s">
        <v>967</v>
      </c>
      <c r="AJ168" s="80"/>
      <c r="AK168" s="83" t="s">
        <v>952</v>
      </c>
      <c r="AL168" s="80" t="b">
        <v>0</v>
      </c>
      <c r="AM168" s="80">
        <v>1</v>
      </c>
      <c r="AN168" s="83" t="s">
        <v>952</v>
      </c>
      <c r="AO168" s="83" t="s">
        <v>972</v>
      </c>
      <c r="AP168" s="80" t="b">
        <v>0</v>
      </c>
      <c r="AQ168" s="83" t="s">
        <v>834</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4</v>
      </c>
      <c r="BF168" s="49">
        <v>0</v>
      </c>
      <c r="BG168" s="50">
        <v>0</v>
      </c>
      <c r="BH168" s="49">
        <v>0</v>
      </c>
      <c r="BI168" s="50">
        <v>0</v>
      </c>
      <c r="BJ168" s="49">
        <v>0</v>
      </c>
      <c r="BK168" s="50">
        <v>0</v>
      </c>
      <c r="BL168" s="49">
        <v>13</v>
      </c>
      <c r="BM168" s="50">
        <v>100</v>
      </c>
      <c r="BN168" s="49">
        <v>13</v>
      </c>
    </row>
    <row r="169" spans="1:66" ht="15">
      <c r="A169" s="65" t="s">
        <v>312</v>
      </c>
      <c r="B169" s="65" t="s">
        <v>311</v>
      </c>
      <c r="C169" s="66" t="s">
        <v>2815</v>
      </c>
      <c r="D169" s="67">
        <v>3</v>
      </c>
      <c r="E169" s="66" t="s">
        <v>132</v>
      </c>
      <c r="F169" s="69">
        <v>32</v>
      </c>
      <c r="G169" s="66"/>
      <c r="H169" s="70"/>
      <c r="I169" s="71"/>
      <c r="J169" s="71"/>
      <c r="K169" s="35" t="s">
        <v>65</v>
      </c>
      <c r="L169" s="72">
        <v>169</v>
      </c>
      <c r="M169" s="72"/>
      <c r="N169" s="73"/>
      <c r="O169" s="80" t="s">
        <v>408</v>
      </c>
      <c r="P169" s="82">
        <v>44479.466678240744</v>
      </c>
      <c r="Q169" s="80" t="s">
        <v>459</v>
      </c>
      <c r="R169" s="85" t="str">
        <f>HYPERLINK("https://vegnews.com/2021/10/ashton-kutcher-cell-based-meat")</f>
        <v>https://vegnews.com/2021/10/ashton-kutcher-cell-based-meat</v>
      </c>
      <c r="S169" s="80" t="s">
        <v>532</v>
      </c>
      <c r="T169" s="80"/>
      <c r="U169" s="80"/>
      <c r="V169" s="85" t="str">
        <f>HYPERLINK("https://pbs.twimg.com/profile_images/1095176099066245120/w7NpPKkN_normal.jpg")</f>
        <v>https://pbs.twimg.com/profile_images/1095176099066245120/w7NpPKkN_normal.jpg</v>
      </c>
      <c r="W169" s="82">
        <v>44479.466678240744</v>
      </c>
      <c r="X169" s="87">
        <v>44479</v>
      </c>
      <c r="Y169" s="83" t="s">
        <v>652</v>
      </c>
      <c r="Z169" s="85" t="str">
        <f>HYPERLINK("https://twitter.com/augustakaiserin/status/1447157971591565315")</f>
        <v>https://twitter.com/augustakaiserin/status/1447157971591565315</v>
      </c>
      <c r="AA169" s="80"/>
      <c r="AB169" s="80"/>
      <c r="AC169" s="83" t="s">
        <v>835</v>
      </c>
      <c r="AD169" s="80"/>
      <c r="AE169" s="80" t="b">
        <v>0</v>
      </c>
      <c r="AF169" s="80">
        <v>0</v>
      </c>
      <c r="AG169" s="83" t="s">
        <v>952</v>
      </c>
      <c r="AH169" s="80" t="b">
        <v>0</v>
      </c>
      <c r="AI169" s="80" t="s">
        <v>967</v>
      </c>
      <c r="AJ169" s="80"/>
      <c r="AK169" s="83" t="s">
        <v>952</v>
      </c>
      <c r="AL169" s="80" t="b">
        <v>0</v>
      </c>
      <c r="AM169" s="80">
        <v>1</v>
      </c>
      <c r="AN169" s="83" t="s">
        <v>834</v>
      </c>
      <c r="AO169" s="83" t="s">
        <v>979</v>
      </c>
      <c r="AP169" s="80" t="b">
        <v>0</v>
      </c>
      <c r="AQ169" s="83" t="s">
        <v>834</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9"/>
      <c r="BG169" s="50"/>
      <c r="BH169" s="49"/>
      <c r="BI169" s="50"/>
      <c r="BJ169" s="49"/>
      <c r="BK169" s="50"/>
      <c r="BL169" s="49"/>
      <c r="BM169" s="50"/>
      <c r="BN169" s="49"/>
    </row>
    <row r="170" spans="1:66" ht="15">
      <c r="A170" s="65" t="s">
        <v>312</v>
      </c>
      <c r="B170" s="65" t="s">
        <v>362</v>
      </c>
      <c r="C170" s="66" t="s">
        <v>2815</v>
      </c>
      <c r="D170" s="67">
        <v>3</v>
      </c>
      <c r="E170" s="66" t="s">
        <v>132</v>
      </c>
      <c r="F170" s="69">
        <v>32</v>
      </c>
      <c r="G170" s="66"/>
      <c r="H170" s="70"/>
      <c r="I170" s="71"/>
      <c r="J170" s="71"/>
      <c r="K170" s="35" t="s">
        <v>65</v>
      </c>
      <c r="L170" s="72">
        <v>170</v>
      </c>
      <c r="M170" s="72"/>
      <c r="N170" s="73"/>
      <c r="O170" s="80" t="s">
        <v>407</v>
      </c>
      <c r="P170" s="82">
        <v>44479.466678240744</v>
      </c>
      <c r="Q170" s="80" t="s">
        <v>459</v>
      </c>
      <c r="R170" s="85" t="str">
        <f>HYPERLINK("https://vegnews.com/2021/10/ashton-kutcher-cell-based-meat")</f>
        <v>https://vegnews.com/2021/10/ashton-kutcher-cell-based-meat</v>
      </c>
      <c r="S170" s="80" t="s">
        <v>532</v>
      </c>
      <c r="T170" s="80"/>
      <c r="U170" s="80"/>
      <c r="V170" s="85" t="str">
        <f>HYPERLINK("https://pbs.twimg.com/profile_images/1095176099066245120/w7NpPKkN_normal.jpg")</f>
        <v>https://pbs.twimg.com/profile_images/1095176099066245120/w7NpPKkN_normal.jpg</v>
      </c>
      <c r="W170" s="82">
        <v>44479.466678240744</v>
      </c>
      <c r="X170" s="87">
        <v>44479</v>
      </c>
      <c r="Y170" s="83" t="s">
        <v>652</v>
      </c>
      <c r="Z170" s="85" t="str">
        <f>HYPERLINK("https://twitter.com/augustakaiserin/status/1447157971591565315")</f>
        <v>https://twitter.com/augustakaiserin/status/1447157971591565315</v>
      </c>
      <c r="AA170" s="80"/>
      <c r="AB170" s="80"/>
      <c r="AC170" s="83" t="s">
        <v>835</v>
      </c>
      <c r="AD170" s="80"/>
      <c r="AE170" s="80" t="b">
        <v>0</v>
      </c>
      <c r="AF170" s="80">
        <v>0</v>
      </c>
      <c r="AG170" s="83" t="s">
        <v>952</v>
      </c>
      <c r="AH170" s="80" t="b">
        <v>0</v>
      </c>
      <c r="AI170" s="80" t="s">
        <v>967</v>
      </c>
      <c r="AJ170" s="80"/>
      <c r="AK170" s="83" t="s">
        <v>952</v>
      </c>
      <c r="AL170" s="80" t="b">
        <v>0</v>
      </c>
      <c r="AM170" s="80">
        <v>1</v>
      </c>
      <c r="AN170" s="83" t="s">
        <v>834</v>
      </c>
      <c r="AO170" s="83" t="s">
        <v>979</v>
      </c>
      <c r="AP170" s="80" t="b">
        <v>0</v>
      </c>
      <c r="AQ170" s="83" t="s">
        <v>834</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9">
        <v>0</v>
      </c>
      <c r="BG170" s="50">
        <v>0</v>
      </c>
      <c r="BH170" s="49">
        <v>0</v>
      </c>
      <c r="BI170" s="50">
        <v>0</v>
      </c>
      <c r="BJ170" s="49">
        <v>0</v>
      </c>
      <c r="BK170" s="50">
        <v>0</v>
      </c>
      <c r="BL170" s="49">
        <v>13</v>
      </c>
      <c r="BM170" s="50">
        <v>100</v>
      </c>
      <c r="BN170" s="49">
        <v>13</v>
      </c>
    </row>
    <row r="171" spans="1:66" ht="15">
      <c r="A171" s="65" t="s">
        <v>313</v>
      </c>
      <c r="B171" s="65" t="s">
        <v>313</v>
      </c>
      <c r="C171" s="66" t="s">
        <v>2815</v>
      </c>
      <c r="D171" s="67">
        <v>3</v>
      </c>
      <c r="E171" s="66" t="s">
        <v>132</v>
      </c>
      <c r="F171" s="69">
        <v>32</v>
      </c>
      <c r="G171" s="66"/>
      <c r="H171" s="70"/>
      <c r="I171" s="71"/>
      <c r="J171" s="71"/>
      <c r="K171" s="35" t="s">
        <v>65</v>
      </c>
      <c r="L171" s="72">
        <v>171</v>
      </c>
      <c r="M171" s="72"/>
      <c r="N171" s="73"/>
      <c r="O171" s="80" t="s">
        <v>196</v>
      </c>
      <c r="P171" s="82">
        <v>44479.541666666664</v>
      </c>
      <c r="Q171" s="80" t="s">
        <v>460</v>
      </c>
      <c r="R171" s="80" t="s">
        <v>509</v>
      </c>
      <c r="S171" s="80" t="s">
        <v>536</v>
      </c>
      <c r="T171" s="80"/>
      <c r="U171" s="85" t="str">
        <f>HYPERLINK("https://pbs.twimg.com/media/FBVvODCWQAAcoI4.jpg")</f>
        <v>https://pbs.twimg.com/media/FBVvODCWQAAcoI4.jpg</v>
      </c>
      <c r="V171" s="85" t="str">
        <f>HYPERLINK("https://pbs.twimg.com/media/FBVvODCWQAAcoI4.jpg")</f>
        <v>https://pbs.twimg.com/media/FBVvODCWQAAcoI4.jpg</v>
      </c>
      <c r="W171" s="82">
        <v>44479.541666666664</v>
      </c>
      <c r="X171" s="87">
        <v>44479</v>
      </c>
      <c r="Y171" s="83" t="s">
        <v>653</v>
      </c>
      <c r="Z171" s="85" t="str">
        <f>HYPERLINK("https://twitter.com/foodtechmatters/status/1447185144364818435")</f>
        <v>https://twitter.com/foodtechmatters/status/1447185144364818435</v>
      </c>
      <c r="AA171" s="80"/>
      <c r="AB171" s="80"/>
      <c r="AC171" s="83" t="s">
        <v>836</v>
      </c>
      <c r="AD171" s="80"/>
      <c r="AE171" s="80" t="b">
        <v>0</v>
      </c>
      <c r="AF171" s="80">
        <v>1</v>
      </c>
      <c r="AG171" s="83" t="s">
        <v>952</v>
      </c>
      <c r="AH171" s="80" t="b">
        <v>0</v>
      </c>
      <c r="AI171" s="80" t="s">
        <v>967</v>
      </c>
      <c r="AJ171" s="80"/>
      <c r="AK171" s="83" t="s">
        <v>952</v>
      </c>
      <c r="AL171" s="80" t="b">
        <v>0</v>
      </c>
      <c r="AM171" s="80">
        <v>0</v>
      </c>
      <c r="AN171" s="83" t="s">
        <v>952</v>
      </c>
      <c r="AO171" s="83" t="s">
        <v>978</v>
      </c>
      <c r="AP171" s="80" t="b">
        <v>0</v>
      </c>
      <c r="AQ171" s="83" t="s">
        <v>836</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9">
        <v>0</v>
      </c>
      <c r="BG171" s="50">
        <v>0</v>
      </c>
      <c r="BH171" s="49">
        <v>0</v>
      </c>
      <c r="BI171" s="50">
        <v>0</v>
      </c>
      <c r="BJ171" s="49">
        <v>0</v>
      </c>
      <c r="BK171" s="50">
        <v>0</v>
      </c>
      <c r="BL171" s="49">
        <v>25</v>
      </c>
      <c r="BM171" s="50">
        <v>100</v>
      </c>
      <c r="BN171" s="49">
        <v>25</v>
      </c>
    </row>
    <row r="172" spans="1:66" ht="15">
      <c r="A172" s="65" t="s">
        <v>314</v>
      </c>
      <c r="B172" s="65" t="s">
        <v>314</v>
      </c>
      <c r="C172" s="66" t="s">
        <v>2817</v>
      </c>
      <c r="D172" s="67">
        <v>10</v>
      </c>
      <c r="E172" s="66" t="s">
        <v>136</v>
      </c>
      <c r="F172" s="69">
        <v>15.75</v>
      </c>
      <c r="G172" s="66"/>
      <c r="H172" s="70"/>
      <c r="I172" s="71"/>
      <c r="J172" s="71"/>
      <c r="K172" s="35" t="s">
        <v>65</v>
      </c>
      <c r="L172" s="72">
        <v>172</v>
      </c>
      <c r="M172" s="72"/>
      <c r="N172" s="73"/>
      <c r="O172" s="80" t="s">
        <v>196</v>
      </c>
      <c r="P172" s="82">
        <v>44476.25662037037</v>
      </c>
      <c r="Q172" s="80" t="s">
        <v>461</v>
      </c>
      <c r="R172" s="85" t="str">
        <f>HYPERLINK("https://www.csiro.au/en/work-with-us/funding-programs/programs/Innovate-to-Grow/Agrifood")</f>
        <v>https://www.csiro.au/en/work-with-us/funding-programs/programs/Innovate-to-Grow/Agrifood</v>
      </c>
      <c r="S172" s="80" t="s">
        <v>537</v>
      </c>
      <c r="T172" s="80"/>
      <c r="U172" s="85" t="str">
        <f>HYPERLINK("https://pbs.twimg.com/media/FBE0W0WUUAIIMV3.jpg")</f>
        <v>https://pbs.twimg.com/media/FBE0W0WUUAIIMV3.jpg</v>
      </c>
      <c r="V172" s="85" t="str">
        <f>HYPERLINK("https://pbs.twimg.com/media/FBE0W0WUUAIIMV3.jpg")</f>
        <v>https://pbs.twimg.com/media/FBE0W0WUUAIIMV3.jpg</v>
      </c>
      <c r="W172" s="82">
        <v>44476.25662037037</v>
      </c>
      <c r="X172" s="87">
        <v>44476</v>
      </c>
      <c r="Y172" s="83" t="s">
        <v>654</v>
      </c>
      <c r="Z172" s="85" t="str">
        <f>HYPERLINK("https://twitter.com/jungian_soul/status/1445994685445513216")</f>
        <v>https://twitter.com/jungian_soul/status/1445994685445513216</v>
      </c>
      <c r="AA172" s="80"/>
      <c r="AB172" s="80"/>
      <c r="AC172" s="83" t="s">
        <v>837</v>
      </c>
      <c r="AD172" s="80"/>
      <c r="AE172" s="80" t="b">
        <v>0</v>
      </c>
      <c r="AF172" s="80">
        <v>0</v>
      </c>
      <c r="AG172" s="83" t="s">
        <v>952</v>
      </c>
      <c r="AH172" s="80" t="b">
        <v>0</v>
      </c>
      <c r="AI172" s="80" t="s">
        <v>967</v>
      </c>
      <c r="AJ172" s="80"/>
      <c r="AK172" s="83" t="s">
        <v>952</v>
      </c>
      <c r="AL172" s="80" t="b">
        <v>0</v>
      </c>
      <c r="AM172" s="80">
        <v>0</v>
      </c>
      <c r="AN172" s="83" t="s">
        <v>952</v>
      </c>
      <c r="AO172" s="83" t="s">
        <v>972</v>
      </c>
      <c r="AP172" s="80" t="b">
        <v>0</v>
      </c>
      <c r="AQ172" s="83" t="s">
        <v>837</v>
      </c>
      <c r="AR172" s="80" t="s">
        <v>196</v>
      </c>
      <c r="AS172" s="80">
        <v>0</v>
      </c>
      <c r="AT172" s="80">
        <v>0</v>
      </c>
      <c r="AU172" s="80"/>
      <c r="AV172" s="80"/>
      <c r="AW172" s="80"/>
      <c r="AX172" s="80"/>
      <c r="AY172" s="80"/>
      <c r="AZ172" s="80"/>
      <c r="BA172" s="80"/>
      <c r="BB172" s="80"/>
      <c r="BC172">
        <v>6</v>
      </c>
      <c r="BD172" s="79" t="str">
        <f>REPLACE(INDEX(GroupVertices[Group],MATCH(Edges[[#This Row],[Vertex 1]],GroupVertices[Vertex],0)),1,1,"")</f>
        <v>14</v>
      </c>
      <c r="BE172" s="79" t="str">
        <f>REPLACE(INDEX(GroupVertices[Group],MATCH(Edges[[#This Row],[Vertex 2]],GroupVertices[Vertex],0)),1,1,"")</f>
        <v>14</v>
      </c>
      <c r="BF172" s="49">
        <v>0</v>
      </c>
      <c r="BG172" s="50">
        <v>0</v>
      </c>
      <c r="BH172" s="49">
        <v>0</v>
      </c>
      <c r="BI172" s="50">
        <v>0</v>
      </c>
      <c r="BJ172" s="49">
        <v>0</v>
      </c>
      <c r="BK172" s="50">
        <v>0</v>
      </c>
      <c r="BL172" s="49">
        <v>19</v>
      </c>
      <c r="BM172" s="50">
        <v>100</v>
      </c>
      <c r="BN172" s="49">
        <v>19</v>
      </c>
    </row>
    <row r="173" spans="1:66" ht="15">
      <c r="A173" s="65" t="s">
        <v>314</v>
      </c>
      <c r="B173" s="65" t="s">
        <v>314</v>
      </c>
      <c r="C173" s="66" t="s">
        <v>2817</v>
      </c>
      <c r="D173" s="67">
        <v>10</v>
      </c>
      <c r="E173" s="66" t="s">
        <v>136</v>
      </c>
      <c r="F173" s="69">
        <v>15.75</v>
      </c>
      <c r="G173" s="66"/>
      <c r="H173" s="70"/>
      <c r="I173" s="71"/>
      <c r="J173" s="71"/>
      <c r="K173" s="35" t="s">
        <v>65</v>
      </c>
      <c r="L173" s="72">
        <v>173</v>
      </c>
      <c r="M173" s="72"/>
      <c r="N173" s="73"/>
      <c r="O173" s="80" t="s">
        <v>196</v>
      </c>
      <c r="P173" s="82">
        <v>44476.28194444445</v>
      </c>
      <c r="Q173" s="80" t="s">
        <v>433</v>
      </c>
      <c r="R173" s="85" t="str">
        <f>HYPERLINK("https://plantbasednews.org/news/australian-company-create-cell-based-meat-from-exotic-animals/")</f>
        <v>https://plantbasednews.org/news/australian-company-create-cell-based-meat-from-exotic-animals/</v>
      </c>
      <c r="S173" s="80" t="s">
        <v>529</v>
      </c>
      <c r="T173" s="80"/>
      <c r="U173" s="80"/>
      <c r="V173" s="85" t="str">
        <f>HYPERLINK("https://pbs.twimg.com/profile_images/1443256995302178819/_RscXDoK_normal.jpg")</f>
        <v>https://pbs.twimg.com/profile_images/1443256995302178819/_RscXDoK_normal.jpg</v>
      </c>
      <c r="W173" s="82">
        <v>44476.28194444445</v>
      </c>
      <c r="X173" s="87">
        <v>44476</v>
      </c>
      <c r="Y173" s="83" t="s">
        <v>655</v>
      </c>
      <c r="Z173" s="85" t="str">
        <f>HYPERLINK("https://twitter.com/jungian_soul/status/1446003859038478338")</f>
        <v>https://twitter.com/jungian_soul/status/1446003859038478338</v>
      </c>
      <c r="AA173" s="80"/>
      <c r="AB173" s="80"/>
      <c r="AC173" s="83" t="s">
        <v>838</v>
      </c>
      <c r="AD173" s="80"/>
      <c r="AE173" s="80" t="b">
        <v>0</v>
      </c>
      <c r="AF173" s="80">
        <v>4</v>
      </c>
      <c r="AG173" s="83" t="s">
        <v>952</v>
      </c>
      <c r="AH173" s="80" t="b">
        <v>0</v>
      </c>
      <c r="AI173" s="80" t="s">
        <v>967</v>
      </c>
      <c r="AJ173" s="80"/>
      <c r="AK173" s="83" t="s">
        <v>952</v>
      </c>
      <c r="AL173" s="80" t="b">
        <v>0</v>
      </c>
      <c r="AM173" s="80">
        <v>4</v>
      </c>
      <c r="AN173" s="83" t="s">
        <v>952</v>
      </c>
      <c r="AO173" s="83" t="s">
        <v>972</v>
      </c>
      <c r="AP173" s="80" t="b">
        <v>0</v>
      </c>
      <c r="AQ173" s="83" t="s">
        <v>838</v>
      </c>
      <c r="AR173" s="80" t="s">
        <v>196</v>
      </c>
      <c r="AS173" s="80">
        <v>0</v>
      </c>
      <c r="AT173" s="80">
        <v>0</v>
      </c>
      <c r="AU173" s="80"/>
      <c r="AV173" s="80"/>
      <c r="AW173" s="80"/>
      <c r="AX173" s="80"/>
      <c r="AY173" s="80"/>
      <c r="AZ173" s="80"/>
      <c r="BA173" s="80"/>
      <c r="BB173" s="80"/>
      <c r="BC173">
        <v>6</v>
      </c>
      <c r="BD173" s="79" t="str">
        <f>REPLACE(INDEX(GroupVertices[Group],MATCH(Edges[[#This Row],[Vertex 1]],GroupVertices[Vertex],0)),1,1,"")</f>
        <v>14</v>
      </c>
      <c r="BE173" s="79" t="str">
        <f>REPLACE(INDEX(GroupVertices[Group],MATCH(Edges[[#This Row],[Vertex 2]],GroupVertices[Vertex],0)),1,1,"")</f>
        <v>14</v>
      </c>
      <c r="BF173" s="49">
        <v>1</v>
      </c>
      <c r="BG173" s="50">
        <v>7.142857142857143</v>
      </c>
      <c r="BH173" s="49">
        <v>0</v>
      </c>
      <c r="BI173" s="50">
        <v>0</v>
      </c>
      <c r="BJ173" s="49">
        <v>0</v>
      </c>
      <c r="BK173" s="50">
        <v>0</v>
      </c>
      <c r="BL173" s="49">
        <v>13</v>
      </c>
      <c r="BM173" s="50">
        <v>92.85714285714286</v>
      </c>
      <c r="BN173" s="49">
        <v>14</v>
      </c>
    </row>
    <row r="174" spans="1:66" ht="15">
      <c r="A174" s="65" t="s">
        <v>314</v>
      </c>
      <c r="B174" s="65" t="s">
        <v>314</v>
      </c>
      <c r="C174" s="66" t="s">
        <v>2817</v>
      </c>
      <c r="D174" s="67">
        <v>10</v>
      </c>
      <c r="E174" s="66" t="s">
        <v>136</v>
      </c>
      <c r="F174" s="69">
        <v>15.75</v>
      </c>
      <c r="G174" s="66"/>
      <c r="H174" s="70"/>
      <c r="I174" s="71"/>
      <c r="J174" s="71"/>
      <c r="K174" s="35" t="s">
        <v>65</v>
      </c>
      <c r="L174" s="72">
        <v>174</v>
      </c>
      <c r="M174" s="72"/>
      <c r="N174" s="73"/>
      <c r="O174" s="80" t="s">
        <v>196</v>
      </c>
      <c r="P174" s="82">
        <v>44476.28271990741</v>
      </c>
      <c r="Q174" s="80" t="s">
        <v>462</v>
      </c>
      <c r="R174" s="85" t="str">
        <f>HYPERLINK("https://plantbasednews.org/lifestyle/60-meat-2040-vegan-cultured-not-dead-animals/")</f>
        <v>https://plantbasednews.org/lifestyle/60-meat-2040-vegan-cultured-not-dead-animals/</v>
      </c>
      <c r="S174" s="80" t="s">
        <v>529</v>
      </c>
      <c r="T174" s="80"/>
      <c r="U174" s="80"/>
      <c r="V174" s="85" t="str">
        <f>HYPERLINK("https://pbs.twimg.com/profile_images/1443256995302178819/_RscXDoK_normal.jpg")</f>
        <v>https://pbs.twimg.com/profile_images/1443256995302178819/_RscXDoK_normal.jpg</v>
      </c>
      <c r="W174" s="82">
        <v>44476.28271990741</v>
      </c>
      <c r="X174" s="87">
        <v>44476</v>
      </c>
      <c r="Y174" s="83" t="s">
        <v>656</v>
      </c>
      <c r="Z174" s="85" t="str">
        <f>HYPERLINK("https://twitter.com/jungian_soul/status/1446004141021548544")</f>
        <v>https://twitter.com/jungian_soul/status/1446004141021548544</v>
      </c>
      <c r="AA174" s="80"/>
      <c r="AB174" s="80"/>
      <c r="AC174" s="83" t="s">
        <v>839</v>
      </c>
      <c r="AD174" s="80"/>
      <c r="AE174" s="80" t="b">
        <v>0</v>
      </c>
      <c r="AF174" s="80">
        <v>0</v>
      </c>
      <c r="AG174" s="83" t="s">
        <v>952</v>
      </c>
      <c r="AH174" s="80" t="b">
        <v>0</v>
      </c>
      <c r="AI174" s="80" t="s">
        <v>967</v>
      </c>
      <c r="AJ174" s="80"/>
      <c r="AK174" s="83" t="s">
        <v>952</v>
      </c>
      <c r="AL174" s="80" t="b">
        <v>0</v>
      </c>
      <c r="AM174" s="80">
        <v>0</v>
      </c>
      <c r="AN174" s="83" t="s">
        <v>952</v>
      </c>
      <c r="AO174" s="83" t="s">
        <v>972</v>
      </c>
      <c r="AP174" s="80" t="b">
        <v>0</v>
      </c>
      <c r="AQ174" s="83" t="s">
        <v>839</v>
      </c>
      <c r="AR174" s="80" t="s">
        <v>196</v>
      </c>
      <c r="AS174" s="80">
        <v>0</v>
      </c>
      <c r="AT174" s="80">
        <v>0</v>
      </c>
      <c r="AU174" s="80"/>
      <c r="AV174" s="80"/>
      <c r="AW174" s="80"/>
      <c r="AX174" s="80"/>
      <c r="AY174" s="80"/>
      <c r="AZ174" s="80"/>
      <c r="BA174" s="80"/>
      <c r="BB174" s="80"/>
      <c r="BC174">
        <v>6</v>
      </c>
      <c r="BD174" s="79" t="str">
        <f>REPLACE(INDEX(GroupVertices[Group],MATCH(Edges[[#This Row],[Vertex 1]],GroupVertices[Vertex],0)),1,1,"")</f>
        <v>14</v>
      </c>
      <c r="BE174" s="79" t="str">
        <f>REPLACE(INDEX(GroupVertices[Group],MATCH(Edges[[#This Row],[Vertex 2]],GroupVertices[Vertex],0)),1,1,"")</f>
        <v>14</v>
      </c>
      <c r="BF174" s="49">
        <v>1</v>
      </c>
      <c r="BG174" s="50">
        <v>3.4482758620689653</v>
      </c>
      <c r="BH174" s="49">
        <v>1</v>
      </c>
      <c r="BI174" s="50">
        <v>3.4482758620689653</v>
      </c>
      <c r="BJ174" s="49">
        <v>0</v>
      </c>
      <c r="BK174" s="50">
        <v>0</v>
      </c>
      <c r="BL174" s="49">
        <v>27</v>
      </c>
      <c r="BM174" s="50">
        <v>93.10344827586206</v>
      </c>
      <c r="BN174" s="49">
        <v>29</v>
      </c>
    </row>
    <row r="175" spans="1:66" ht="15">
      <c r="A175" s="65" t="s">
        <v>314</v>
      </c>
      <c r="B175" s="65" t="s">
        <v>314</v>
      </c>
      <c r="C175" s="66" t="s">
        <v>2817</v>
      </c>
      <c r="D175" s="67">
        <v>10</v>
      </c>
      <c r="E175" s="66" t="s">
        <v>136</v>
      </c>
      <c r="F175" s="69">
        <v>15.75</v>
      </c>
      <c r="G175" s="66"/>
      <c r="H175" s="70"/>
      <c r="I175" s="71"/>
      <c r="J175" s="71"/>
      <c r="K175" s="35" t="s">
        <v>65</v>
      </c>
      <c r="L175" s="72">
        <v>175</v>
      </c>
      <c r="M175" s="72"/>
      <c r="N175" s="73"/>
      <c r="O175" s="80" t="s">
        <v>196</v>
      </c>
      <c r="P175" s="82">
        <v>44476.28306712963</v>
      </c>
      <c r="Q175" s="80" t="s">
        <v>463</v>
      </c>
      <c r="R175" s="85" t="str">
        <f>HYPERLINK("https://plantbasednews.org/lifestyle/food/cell-cultured-meat-could-hit-grocery-stores-in-next-5-years-predicts-expert/")</f>
        <v>https://plantbasednews.org/lifestyle/food/cell-cultured-meat-could-hit-grocery-stores-in-next-5-years-predicts-expert/</v>
      </c>
      <c r="S175" s="80" t="s">
        <v>529</v>
      </c>
      <c r="T175" s="80"/>
      <c r="U175" s="80"/>
      <c r="V175" s="85" t="str">
        <f>HYPERLINK("https://pbs.twimg.com/profile_images/1443256995302178819/_RscXDoK_normal.jpg")</f>
        <v>https://pbs.twimg.com/profile_images/1443256995302178819/_RscXDoK_normal.jpg</v>
      </c>
      <c r="W175" s="82">
        <v>44476.28306712963</v>
      </c>
      <c r="X175" s="87">
        <v>44476</v>
      </c>
      <c r="Y175" s="83" t="s">
        <v>657</v>
      </c>
      <c r="Z175" s="85" t="str">
        <f>HYPERLINK("https://twitter.com/jungian_soul/status/1446004268826202118")</f>
        <v>https://twitter.com/jungian_soul/status/1446004268826202118</v>
      </c>
      <c r="AA175" s="80"/>
      <c r="AB175" s="80"/>
      <c r="AC175" s="83" t="s">
        <v>840</v>
      </c>
      <c r="AD175" s="80"/>
      <c r="AE175" s="80" t="b">
        <v>0</v>
      </c>
      <c r="AF175" s="80">
        <v>1</v>
      </c>
      <c r="AG175" s="83" t="s">
        <v>952</v>
      </c>
      <c r="AH175" s="80" t="b">
        <v>0</v>
      </c>
      <c r="AI175" s="80" t="s">
        <v>967</v>
      </c>
      <c r="AJ175" s="80"/>
      <c r="AK175" s="83" t="s">
        <v>952</v>
      </c>
      <c r="AL175" s="80" t="b">
        <v>0</v>
      </c>
      <c r="AM175" s="80">
        <v>0</v>
      </c>
      <c r="AN175" s="83" t="s">
        <v>952</v>
      </c>
      <c r="AO175" s="83" t="s">
        <v>972</v>
      </c>
      <c r="AP175" s="80" t="b">
        <v>0</v>
      </c>
      <c r="AQ175" s="83" t="s">
        <v>840</v>
      </c>
      <c r="AR175" s="80" t="s">
        <v>196</v>
      </c>
      <c r="AS175" s="80">
        <v>0</v>
      </c>
      <c r="AT175" s="80">
        <v>0</v>
      </c>
      <c r="AU175" s="80"/>
      <c r="AV175" s="80"/>
      <c r="AW175" s="80"/>
      <c r="AX175" s="80"/>
      <c r="AY175" s="80"/>
      <c r="AZ175" s="80"/>
      <c r="BA175" s="80"/>
      <c r="BB175" s="80"/>
      <c r="BC175">
        <v>6</v>
      </c>
      <c r="BD175" s="79" t="str">
        <f>REPLACE(INDEX(GroupVertices[Group],MATCH(Edges[[#This Row],[Vertex 1]],GroupVertices[Vertex],0)),1,1,"")</f>
        <v>14</v>
      </c>
      <c r="BE175" s="79" t="str">
        <f>REPLACE(INDEX(GroupVertices[Group],MATCH(Edges[[#This Row],[Vertex 2]],GroupVertices[Vertex],0)),1,1,"")</f>
        <v>14</v>
      </c>
      <c r="BF175" s="49">
        <v>0</v>
      </c>
      <c r="BG175" s="50">
        <v>0</v>
      </c>
      <c r="BH175" s="49">
        <v>0</v>
      </c>
      <c r="BI175" s="50">
        <v>0</v>
      </c>
      <c r="BJ175" s="49">
        <v>0</v>
      </c>
      <c r="BK175" s="50">
        <v>0</v>
      </c>
      <c r="BL175" s="49">
        <v>16</v>
      </c>
      <c r="BM175" s="50">
        <v>100</v>
      </c>
      <c r="BN175" s="49">
        <v>16</v>
      </c>
    </row>
    <row r="176" spans="1:66" ht="15">
      <c r="A176" s="65" t="s">
        <v>314</v>
      </c>
      <c r="B176" s="65" t="s">
        <v>314</v>
      </c>
      <c r="C176" s="66" t="s">
        <v>2817</v>
      </c>
      <c r="D176" s="67">
        <v>10</v>
      </c>
      <c r="E176" s="66" t="s">
        <v>136</v>
      </c>
      <c r="F176" s="69">
        <v>15.75</v>
      </c>
      <c r="G176" s="66"/>
      <c r="H176" s="70"/>
      <c r="I176" s="71"/>
      <c r="J176" s="71"/>
      <c r="K176" s="35" t="s">
        <v>65</v>
      </c>
      <c r="L176" s="72">
        <v>176</v>
      </c>
      <c r="M176" s="72"/>
      <c r="N176" s="73"/>
      <c r="O176" s="80" t="s">
        <v>196</v>
      </c>
      <c r="P176" s="82">
        <v>44479.55365740741</v>
      </c>
      <c r="Q176" s="80" t="s">
        <v>464</v>
      </c>
      <c r="R176" s="85" t="str">
        <f>HYPERLINK("https://www.farmonline.com.au/story/7458243/new-leaders-at-harvest-road/?cs=5374")</f>
        <v>https://www.farmonline.com.au/story/7458243/new-leaders-at-harvest-road/?cs=5374</v>
      </c>
      <c r="S176" s="80" t="s">
        <v>538</v>
      </c>
      <c r="T176" s="80"/>
      <c r="U176" s="85" t="str">
        <f>HYPERLINK("https://pbs.twimg.com/media/FBVy2qOVEAU9poN.jpg")</f>
        <v>https://pbs.twimg.com/media/FBVy2qOVEAU9poN.jpg</v>
      </c>
      <c r="V176" s="85" t="str">
        <f>HYPERLINK("https://pbs.twimg.com/media/FBVy2qOVEAU9poN.jpg")</f>
        <v>https://pbs.twimg.com/media/FBVy2qOVEAU9poN.jpg</v>
      </c>
      <c r="W176" s="82">
        <v>44479.55365740741</v>
      </c>
      <c r="X176" s="87">
        <v>44479</v>
      </c>
      <c r="Y176" s="83" t="s">
        <v>658</v>
      </c>
      <c r="Z176" s="85" t="str">
        <f>HYPERLINK("https://twitter.com/jungian_soul/status/1447189488753541124")</f>
        <v>https://twitter.com/jungian_soul/status/1447189488753541124</v>
      </c>
      <c r="AA176" s="80"/>
      <c r="AB176" s="80"/>
      <c r="AC176" s="83" t="s">
        <v>841</v>
      </c>
      <c r="AD176" s="80"/>
      <c r="AE176" s="80" t="b">
        <v>0</v>
      </c>
      <c r="AF176" s="80">
        <v>5</v>
      </c>
      <c r="AG176" s="83" t="s">
        <v>952</v>
      </c>
      <c r="AH176" s="80" t="b">
        <v>0</v>
      </c>
      <c r="AI176" s="80" t="s">
        <v>967</v>
      </c>
      <c r="AJ176" s="80"/>
      <c r="AK176" s="83" t="s">
        <v>952</v>
      </c>
      <c r="AL176" s="80" t="b">
        <v>0</v>
      </c>
      <c r="AM176" s="80">
        <v>0</v>
      </c>
      <c r="AN176" s="83" t="s">
        <v>952</v>
      </c>
      <c r="AO176" s="83" t="s">
        <v>972</v>
      </c>
      <c r="AP176" s="80" t="b">
        <v>0</v>
      </c>
      <c r="AQ176" s="83" t="s">
        <v>841</v>
      </c>
      <c r="AR176" s="80" t="s">
        <v>196</v>
      </c>
      <c r="AS176" s="80">
        <v>0</v>
      </c>
      <c r="AT176" s="80">
        <v>0</v>
      </c>
      <c r="AU176" s="80"/>
      <c r="AV176" s="80"/>
      <c r="AW176" s="80"/>
      <c r="AX176" s="80"/>
      <c r="AY176" s="80"/>
      <c r="AZ176" s="80"/>
      <c r="BA176" s="80"/>
      <c r="BB176" s="80"/>
      <c r="BC176">
        <v>6</v>
      </c>
      <c r="BD176" s="79" t="str">
        <f>REPLACE(INDEX(GroupVertices[Group],MATCH(Edges[[#This Row],[Vertex 1]],GroupVertices[Vertex],0)),1,1,"")</f>
        <v>14</v>
      </c>
      <c r="BE176" s="79" t="str">
        <f>REPLACE(INDEX(GroupVertices[Group],MATCH(Edges[[#This Row],[Vertex 2]],GroupVertices[Vertex],0)),1,1,"")</f>
        <v>14</v>
      </c>
      <c r="BF176" s="49">
        <v>0</v>
      </c>
      <c r="BG176" s="50">
        <v>0</v>
      </c>
      <c r="BH176" s="49">
        <v>0</v>
      </c>
      <c r="BI176" s="50">
        <v>0</v>
      </c>
      <c r="BJ176" s="49">
        <v>0</v>
      </c>
      <c r="BK176" s="50">
        <v>0</v>
      </c>
      <c r="BL176" s="49">
        <v>32</v>
      </c>
      <c r="BM176" s="50">
        <v>100</v>
      </c>
      <c r="BN176" s="49">
        <v>32</v>
      </c>
    </row>
    <row r="177" spans="1:66" ht="15">
      <c r="A177" s="65" t="s">
        <v>314</v>
      </c>
      <c r="B177" s="65" t="s">
        <v>314</v>
      </c>
      <c r="C177" s="66" t="s">
        <v>2817</v>
      </c>
      <c r="D177" s="67">
        <v>10</v>
      </c>
      <c r="E177" s="66" t="s">
        <v>136</v>
      </c>
      <c r="F177" s="69">
        <v>15.75</v>
      </c>
      <c r="G177" s="66"/>
      <c r="H177" s="70"/>
      <c r="I177" s="71"/>
      <c r="J177" s="71"/>
      <c r="K177" s="35" t="s">
        <v>65</v>
      </c>
      <c r="L177" s="72">
        <v>177</v>
      </c>
      <c r="M177" s="72"/>
      <c r="N177" s="73"/>
      <c r="O177" s="80" t="s">
        <v>196</v>
      </c>
      <c r="P177" s="82">
        <v>44479.583090277774</v>
      </c>
      <c r="Q177" s="80" t="s">
        <v>465</v>
      </c>
      <c r="R177" s="80"/>
      <c r="S177" s="80"/>
      <c r="T177" s="80"/>
      <c r="U177" s="80"/>
      <c r="V177" s="85" t="str">
        <f>HYPERLINK("https://pbs.twimg.com/profile_images/1443256995302178819/_RscXDoK_normal.jpg")</f>
        <v>https://pbs.twimg.com/profile_images/1443256995302178819/_RscXDoK_normal.jpg</v>
      </c>
      <c r="W177" s="82">
        <v>44479.583090277774</v>
      </c>
      <c r="X177" s="87">
        <v>44479</v>
      </c>
      <c r="Y177" s="83" t="s">
        <v>659</v>
      </c>
      <c r="Z177" s="85" t="str">
        <f>HYPERLINK("https://twitter.com/jungian_soul/status/1447200154994425858")</f>
        <v>https://twitter.com/jungian_soul/status/1447200154994425858</v>
      </c>
      <c r="AA177" s="80"/>
      <c r="AB177" s="80"/>
      <c r="AC177" s="83" t="s">
        <v>842</v>
      </c>
      <c r="AD177" s="80"/>
      <c r="AE177" s="80" t="b">
        <v>0</v>
      </c>
      <c r="AF177" s="80">
        <v>1</v>
      </c>
      <c r="AG177" s="83" t="s">
        <v>952</v>
      </c>
      <c r="AH177" s="80" t="b">
        <v>0</v>
      </c>
      <c r="AI177" s="80" t="s">
        <v>967</v>
      </c>
      <c r="AJ177" s="80"/>
      <c r="AK177" s="83" t="s">
        <v>952</v>
      </c>
      <c r="AL177" s="80" t="b">
        <v>0</v>
      </c>
      <c r="AM177" s="80">
        <v>0</v>
      </c>
      <c r="AN177" s="83" t="s">
        <v>952</v>
      </c>
      <c r="AO177" s="83" t="s">
        <v>972</v>
      </c>
      <c r="AP177" s="80" t="b">
        <v>0</v>
      </c>
      <c r="AQ177" s="83" t="s">
        <v>842</v>
      </c>
      <c r="AR177" s="80" t="s">
        <v>196</v>
      </c>
      <c r="AS177" s="80">
        <v>0</v>
      </c>
      <c r="AT177" s="80">
        <v>0</v>
      </c>
      <c r="AU177" s="80"/>
      <c r="AV177" s="80"/>
      <c r="AW177" s="80"/>
      <c r="AX177" s="80"/>
      <c r="AY177" s="80"/>
      <c r="AZ177" s="80"/>
      <c r="BA177" s="80"/>
      <c r="BB177" s="80"/>
      <c r="BC177">
        <v>6</v>
      </c>
      <c r="BD177" s="79" t="str">
        <f>REPLACE(INDEX(GroupVertices[Group],MATCH(Edges[[#This Row],[Vertex 1]],GroupVertices[Vertex],0)),1,1,"")</f>
        <v>14</v>
      </c>
      <c r="BE177" s="79" t="str">
        <f>REPLACE(INDEX(GroupVertices[Group],MATCH(Edges[[#This Row],[Vertex 2]],GroupVertices[Vertex],0)),1,1,"")</f>
        <v>14</v>
      </c>
      <c r="BF177" s="49">
        <v>0</v>
      </c>
      <c r="BG177" s="50">
        <v>0</v>
      </c>
      <c r="BH177" s="49">
        <v>0</v>
      </c>
      <c r="BI177" s="50">
        <v>0</v>
      </c>
      <c r="BJ177" s="49">
        <v>0</v>
      </c>
      <c r="BK177" s="50">
        <v>0</v>
      </c>
      <c r="BL177" s="49">
        <v>12</v>
      </c>
      <c r="BM177" s="50">
        <v>100</v>
      </c>
      <c r="BN177" s="49">
        <v>12</v>
      </c>
    </row>
    <row r="178" spans="1:66" ht="15">
      <c r="A178" s="65" t="s">
        <v>315</v>
      </c>
      <c r="B178" s="65" t="s">
        <v>315</v>
      </c>
      <c r="C178" s="66" t="s">
        <v>2815</v>
      </c>
      <c r="D178" s="67">
        <v>3</v>
      </c>
      <c r="E178" s="66" t="s">
        <v>132</v>
      </c>
      <c r="F178" s="69">
        <v>32</v>
      </c>
      <c r="G178" s="66"/>
      <c r="H178" s="70"/>
      <c r="I178" s="71"/>
      <c r="J178" s="71"/>
      <c r="K178" s="35" t="s">
        <v>65</v>
      </c>
      <c r="L178" s="72">
        <v>178</v>
      </c>
      <c r="M178" s="72"/>
      <c r="N178" s="73"/>
      <c r="O178" s="80" t="s">
        <v>196</v>
      </c>
      <c r="P178" s="82">
        <v>44479.68769675926</v>
      </c>
      <c r="Q178" s="80" t="s">
        <v>466</v>
      </c>
      <c r="R178" s="80" t="s">
        <v>510</v>
      </c>
      <c r="S178" s="80" t="s">
        <v>539</v>
      </c>
      <c r="T178" s="83" t="s">
        <v>559</v>
      </c>
      <c r="U178" s="80"/>
      <c r="V178" s="85" t="str">
        <f>HYPERLINK("https://pbs.twimg.com/profile_images/1235445624582987776/EWHHKoBp_normal.jpg")</f>
        <v>https://pbs.twimg.com/profile_images/1235445624582987776/EWHHKoBp_normal.jpg</v>
      </c>
      <c r="W178" s="82">
        <v>44479.68769675926</v>
      </c>
      <c r="X178" s="87">
        <v>44479</v>
      </c>
      <c r="Y178" s="83" t="s">
        <v>660</v>
      </c>
      <c r="Z178" s="85" t="str">
        <f>HYPERLINK("https://twitter.com/ttranpham/status/1447238062384287744")</f>
        <v>https://twitter.com/ttranpham/status/1447238062384287744</v>
      </c>
      <c r="AA178" s="80"/>
      <c r="AB178" s="80"/>
      <c r="AC178" s="83" t="s">
        <v>843</v>
      </c>
      <c r="AD178" s="80"/>
      <c r="AE178" s="80" t="b">
        <v>0</v>
      </c>
      <c r="AF178" s="80">
        <v>0</v>
      </c>
      <c r="AG178" s="83" t="s">
        <v>952</v>
      </c>
      <c r="AH178" s="80" t="b">
        <v>0</v>
      </c>
      <c r="AI178" s="80" t="s">
        <v>967</v>
      </c>
      <c r="AJ178" s="80"/>
      <c r="AK178" s="83" t="s">
        <v>952</v>
      </c>
      <c r="AL178" s="80" t="b">
        <v>0</v>
      </c>
      <c r="AM178" s="80">
        <v>0</v>
      </c>
      <c r="AN178" s="83" t="s">
        <v>952</v>
      </c>
      <c r="AO178" s="83" t="s">
        <v>977</v>
      </c>
      <c r="AP178" s="80" t="b">
        <v>0</v>
      </c>
      <c r="AQ178" s="83" t="s">
        <v>843</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9">
        <v>0</v>
      </c>
      <c r="BG178" s="50">
        <v>0</v>
      </c>
      <c r="BH178" s="49">
        <v>0</v>
      </c>
      <c r="BI178" s="50">
        <v>0</v>
      </c>
      <c r="BJ178" s="49">
        <v>0</v>
      </c>
      <c r="BK178" s="50">
        <v>0</v>
      </c>
      <c r="BL178" s="49">
        <v>16</v>
      </c>
      <c r="BM178" s="50">
        <v>100</v>
      </c>
      <c r="BN178" s="49">
        <v>16</v>
      </c>
    </row>
    <row r="179" spans="1:66" ht="15">
      <c r="A179" s="65" t="s">
        <v>316</v>
      </c>
      <c r="B179" s="65" t="s">
        <v>394</v>
      </c>
      <c r="C179" s="66" t="s">
        <v>2815</v>
      </c>
      <c r="D179" s="67">
        <v>3</v>
      </c>
      <c r="E179" s="66" t="s">
        <v>132</v>
      </c>
      <c r="F179" s="69">
        <v>32</v>
      </c>
      <c r="G179" s="66"/>
      <c r="H179" s="70"/>
      <c r="I179" s="71"/>
      <c r="J179" s="71"/>
      <c r="K179" s="35" t="s">
        <v>65</v>
      </c>
      <c r="L179" s="72">
        <v>179</v>
      </c>
      <c r="M179" s="72"/>
      <c r="N179" s="73"/>
      <c r="O179" s="80" t="s">
        <v>406</v>
      </c>
      <c r="P179" s="82">
        <v>44479.52831018518</v>
      </c>
      <c r="Q179" s="80" t="s">
        <v>467</v>
      </c>
      <c r="R179" s="85" t="str">
        <f>HYPERLINK("https://vegnews.com/2021/10/ashton-kutcher-cell-based-meat")</f>
        <v>https://vegnews.com/2021/10/ashton-kutcher-cell-based-meat</v>
      </c>
      <c r="S179" s="80" t="s">
        <v>532</v>
      </c>
      <c r="T179" s="80"/>
      <c r="U179" s="80"/>
      <c r="V179" s="85" t="str">
        <f>HYPERLINK("https://pbs.twimg.com/profile_images/1251222493559435264/__qt2TFb_normal.jpg")</f>
        <v>https://pbs.twimg.com/profile_images/1251222493559435264/__qt2TFb_normal.jpg</v>
      </c>
      <c r="W179" s="82">
        <v>44479.52831018518</v>
      </c>
      <c r="X179" s="87">
        <v>44479</v>
      </c>
      <c r="Y179" s="83" t="s">
        <v>661</v>
      </c>
      <c r="Z179" s="85" t="str">
        <f>HYPERLINK("https://twitter.com/koelnmesseinc/status/1447180303555039233")</f>
        <v>https://twitter.com/koelnmesseinc/status/1447180303555039233</v>
      </c>
      <c r="AA179" s="80"/>
      <c r="AB179" s="80"/>
      <c r="AC179" s="83" t="s">
        <v>844</v>
      </c>
      <c r="AD179" s="80"/>
      <c r="AE179" s="80" t="b">
        <v>0</v>
      </c>
      <c r="AF179" s="80">
        <v>0</v>
      </c>
      <c r="AG179" s="83" t="s">
        <v>952</v>
      </c>
      <c r="AH179" s="80" t="b">
        <v>0</v>
      </c>
      <c r="AI179" s="80" t="s">
        <v>967</v>
      </c>
      <c r="AJ179" s="80"/>
      <c r="AK179" s="83" t="s">
        <v>952</v>
      </c>
      <c r="AL179" s="80" t="b">
        <v>0</v>
      </c>
      <c r="AM179" s="80">
        <v>1</v>
      </c>
      <c r="AN179" s="83" t="s">
        <v>952</v>
      </c>
      <c r="AO179" s="83" t="s">
        <v>972</v>
      </c>
      <c r="AP179" s="80" t="b">
        <v>0</v>
      </c>
      <c r="AQ179" s="83" t="s">
        <v>844</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4</v>
      </c>
      <c r="BE179" s="79" t="str">
        <f>REPLACE(INDEX(GroupVertices[Group],MATCH(Edges[[#This Row],[Vertex 2]],GroupVertices[Vertex],0)),1,1,"")</f>
        <v>4</v>
      </c>
      <c r="BF179" s="49">
        <v>0</v>
      </c>
      <c r="BG179" s="50">
        <v>0</v>
      </c>
      <c r="BH179" s="49">
        <v>0</v>
      </c>
      <c r="BI179" s="50">
        <v>0</v>
      </c>
      <c r="BJ179" s="49">
        <v>0</v>
      </c>
      <c r="BK179" s="50">
        <v>0</v>
      </c>
      <c r="BL179" s="49">
        <v>20</v>
      </c>
      <c r="BM179" s="50">
        <v>100</v>
      </c>
      <c r="BN179" s="49">
        <v>20</v>
      </c>
    </row>
    <row r="180" spans="1:66" ht="15">
      <c r="A180" s="65" t="s">
        <v>317</v>
      </c>
      <c r="B180" s="65" t="s">
        <v>394</v>
      </c>
      <c r="C180" s="66" t="s">
        <v>2815</v>
      </c>
      <c r="D180" s="67">
        <v>3</v>
      </c>
      <c r="E180" s="66" t="s">
        <v>132</v>
      </c>
      <c r="F180" s="69">
        <v>32</v>
      </c>
      <c r="G180" s="66"/>
      <c r="H180" s="70"/>
      <c r="I180" s="71"/>
      <c r="J180" s="71"/>
      <c r="K180" s="35" t="s">
        <v>65</v>
      </c>
      <c r="L180" s="72">
        <v>180</v>
      </c>
      <c r="M180" s="72"/>
      <c r="N180" s="73"/>
      <c r="O180" s="80" t="s">
        <v>407</v>
      </c>
      <c r="P180" s="82">
        <v>44479.74773148148</v>
      </c>
      <c r="Q180" s="80" t="s">
        <v>467</v>
      </c>
      <c r="R180" s="85" t="str">
        <f>HYPERLINK("https://vegnews.com/2021/10/ashton-kutcher-cell-based-meat")</f>
        <v>https://vegnews.com/2021/10/ashton-kutcher-cell-based-meat</v>
      </c>
      <c r="S180" s="80" t="s">
        <v>532</v>
      </c>
      <c r="T180" s="80"/>
      <c r="U180" s="80"/>
      <c r="V180" s="85" t="str">
        <f>HYPERLINK("https://pbs.twimg.com/profile_images/2709275057/94a5687e696c0e4af3c330f666bdc384_normal.jpeg")</f>
        <v>https://pbs.twimg.com/profile_images/2709275057/94a5687e696c0e4af3c330f666bdc384_normal.jpeg</v>
      </c>
      <c r="W180" s="82">
        <v>44479.74773148148</v>
      </c>
      <c r="X180" s="87">
        <v>44479</v>
      </c>
      <c r="Y180" s="83" t="s">
        <v>662</v>
      </c>
      <c r="Z180" s="85" t="str">
        <f>HYPERLINK("https://twitter.com/philliprussopov/status/1447259818385977346")</f>
        <v>https://twitter.com/philliprussopov/status/1447259818385977346</v>
      </c>
      <c r="AA180" s="80"/>
      <c r="AB180" s="80"/>
      <c r="AC180" s="83" t="s">
        <v>845</v>
      </c>
      <c r="AD180" s="80"/>
      <c r="AE180" s="80" t="b">
        <v>0</v>
      </c>
      <c r="AF180" s="80">
        <v>0</v>
      </c>
      <c r="AG180" s="83" t="s">
        <v>952</v>
      </c>
      <c r="AH180" s="80" t="b">
        <v>0</v>
      </c>
      <c r="AI180" s="80" t="s">
        <v>967</v>
      </c>
      <c r="AJ180" s="80"/>
      <c r="AK180" s="83" t="s">
        <v>952</v>
      </c>
      <c r="AL180" s="80" t="b">
        <v>0</v>
      </c>
      <c r="AM180" s="80">
        <v>1</v>
      </c>
      <c r="AN180" s="83" t="s">
        <v>844</v>
      </c>
      <c r="AO180" s="83" t="s">
        <v>972</v>
      </c>
      <c r="AP180" s="80" t="b">
        <v>0</v>
      </c>
      <c r="AQ180" s="83" t="s">
        <v>844</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316</v>
      </c>
      <c r="B181" s="65" t="s">
        <v>362</v>
      </c>
      <c r="C181" s="66" t="s">
        <v>2815</v>
      </c>
      <c r="D181" s="67">
        <v>3</v>
      </c>
      <c r="E181" s="66" t="s">
        <v>132</v>
      </c>
      <c r="F181" s="69">
        <v>32</v>
      </c>
      <c r="G181" s="66"/>
      <c r="H181" s="70"/>
      <c r="I181" s="71"/>
      <c r="J181" s="71"/>
      <c r="K181" s="35" t="s">
        <v>65</v>
      </c>
      <c r="L181" s="72">
        <v>181</v>
      </c>
      <c r="M181" s="72"/>
      <c r="N181" s="73"/>
      <c r="O181" s="80" t="s">
        <v>406</v>
      </c>
      <c r="P181" s="82">
        <v>44479.52831018518</v>
      </c>
      <c r="Q181" s="80" t="s">
        <v>467</v>
      </c>
      <c r="R181" s="85" t="str">
        <f>HYPERLINK("https://vegnews.com/2021/10/ashton-kutcher-cell-based-meat")</f>
        <v>https://vegnews.com/2021/10/ashton-kutcher-cell-based-meat</v>
      </c>
      <c r="S181" s="80" t="s">
        <v>532</v>
      </c>
      <c r="T181" s="80"/>
      <c r="U181" s="80"/>
      <c r="V181" s="85" t="str">
        <f>HYPERLINK("https://pbs.twimg.com/profile_images/1251222493559435264/__qt2TFb_normal.jpg")</f>
        <v>https://pbs.twimg.com/profile_images/1251222493559435264/__qt2TFb_normal.jpg</v>
      </c>
      <c r="W181" s="82">
        <v>44479.52831018518</v>
      </c>
      <c r="X181" s="87">
        <v>44479</v>
      </c>
      <c r="Y181" s="83" t="s">
        <v>661</v>
      </c>
      <c r="Z181" s="85" t="str">
        <f>HYPERLINK("https://twitter.com/koelnmesseinc/status/1447180303555039233")</f>
        <v>https://twitter.com/koelnmesseinc/status/1447180303555039233</v>
      </c>
      <c r="AA181" s="80"/>
      <c r="AB181" s="80"/>
      <c r="AC181" s="83" t="s">
        <v>844</v>
      </c>
      <c r="AD181" s="80"/>
      <c r="AE181" s="80" t="b">
        <v>0</v>
      </c>
      <c r="AF181" s="80">
        <v>0</v>
      </c>
      <c r="AG181" s="83" t="s">
        <v>952</v>
      </c>
      <c r="AH181" s="80" t="b">
        <v>0</v>
      </c>
      <c r="AI181" s="80" t="s">
        <v>967</v>
      </c>
      <c r="AJ181" s="80"/>
      <c r="AK181" s="83" t="s">
        <v>952</v>
      </c>
      <c r="AL181" s="80" t="b">
        <v>0</v>
      </c>
      <c r="AM181" s="80">
        <v>1</v>
      </c>
      <c r="AN181" s="83" t="s">
        <v>952</v>
      </c>
      <c r="AO181" s="83" t="s">
        <v>972</v>
      </c>
      <c r="AP181" s="80" t="b">
        <v>0</v>
      </c>
      <c r="AQ181" s="83" t="s">
        <v>844</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4</v>
      </c>
      <c r="BE181" s="79" t="str">
        <f>REPLACE(INDEX(GroupVertices[Group],MATCH(Edges[[#This Row],[Vertex 2]],GroupVertices[Vertex],0)),1,1,"")</f>
        <v>4</v>
      </c>
      <c r="BF181" s="49"/>
      <c r="BG181" s="50"/>
      <c r="BH181" s="49"/>
      <c r="BI181" s="50"/>
      <c r="BJ181" s="49"/>
      <c r="BK181" s="50"/>
      <c r="BL181" s="49"/>
      <c r="BM181" s="50"/>
      <c r="BN181" s="49"/>
    </row>
    <row r="182" spans="1:66" ht="15">
      <c r="A182" s="65" t="s">
        <v>316</v>
      </c>
      <c r="B182" s="65" t="s">
        <v>390</v>
      </c>
      <c r="C182" s="66" t="s">
        <v>2815</v>
      </c>
      <c r="D182" s="67">
        <v>3</v>
      </c>
      <c r="E182" s="66" t="s">
        <v>132</v>
      </c>
      <c r="F182" s="69">
        <v>32</v>
      </c>
      <c r="G182" s="66"/>
      <c r="H182" s="70"/>
      <c r="I182" s="71"/>
      <c r="J182" s="71"/>
      <c r="K182" s="35" t="s">
        <v>65</v>
      </c>
      <c r="L182" s="72">
        <v>182</v>
      </c>
      <c r="M182" s="72"/>
      <c r="N182" s="73"/>
      <c r="O182" s="80" t="s">
        <v>406</v>
      </c>
      <c r="P182" s="82">
        <v>44479.52831018518</v>
      </c>
      <c r="Q182" s="80" t="s">
        <v>467</v>
      </c>
      <c r="R182" s="85" t="str">
        <f>HYPERLINK("https://vegnews.com/2021/10/ashton-kutcher-cell-based-meat")</f>
        <v>https://vegnews.com/2021/10/ashton-kutcher-cell-based-meat</v>
      </c>
      <c r="S182" s="80" t="s">
        <v>532</v>
      </c>
      <c r="T182" s="80"/>
      <c r="U182" s="80"/>
      <c r="V182" s="85" t="str">
        <f>HYPERLINK("https://pbs.twimg.com/profile_images/1251222493559435264/__qt2TFb_normal.jpg")</f>
        <v>https://pbs.twimg.com/profile_images/1251222493559435264/__qt2TFb_normal.jpg</v>
      </c>
      <c r="W182" s="82">
        <v>44479.52831018518</v>
      </c>
      <c r="X182" s="87">
        <v>44479</v>
      </c>
      <c r="Y182" s="83" t="s">
        <v>661</v>
      </c>
      <c r="Z182" s="85" t="str">
        <f>HYPERLINK("https://twitter.com/koelnmesseinc/status/1447180303555039233")</f>
        <v>https://twitter.com/koelnmesseinc/status/1447180303555039233</v>
      </c>
      <c r="AA182" s="80"/>
      <c r="AB182" s="80"/>
      <c r="AC182" s="83" t="s">
        <v>844</v>
      </c>
      <c r="AD182" s="80"/>
      <c r="AE182" s="80" t="b">
        <v>0</v>
      </c>
      <c r="AF182" s="80">
        <v>0</v>
      </c>
      <c r="AG182" s="83" t="s">
        <v>952</v>
      </c>
      <c r="AH182" s="80" t="b">
        <v>0</v>
      </c>
      <c r="AI182" s="80" t="s">
        <v>967</v>
      </c>
      <c r="AJ182" s="80"/>
      <c r="AK182" s="83" t="s">
        <v>952</v>
      </c>
      <c r="AL182" s="80" t="b">
        <v>0</v>
      </c>
      <c r="AM182" s="80">
        <v>1</v>
      </c>
      <c r="AN182" s="83" t="s">
        <v>952</v>
      </c>
      <c r="AO182" s="83" t="s">
        <v>972</v>
      </c>
      <c r="AP182" s="80" t="b">
        <v>0</v>
      </c>
      <c r="AQ182" s="83" t="s">
        <v>844</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4</v>
      </c>
      <c r="BE182" s="79" t="str">
        <f>REPLACE(INDEX(GroupVertices[Group],MATCH(Edges[[#This Row],[Vertex 2]],GroupVertices[Vertex],0)),1,1,"")</f>
        <v>4</v>
      </c>
      <c r="BF182" s="49"/>
      <c r="BG182" s="50"/>
      <c r="BH182" s="49"/>
      <c r="BI182" s="50"/>
      <c r="BJ182" s="49"/>
      <c r="BK182" s="50"/>
      <c r="BL182" s="49"/>
      <c r="BM182" s="50"/>
      <c r="BN182" s="49"/>
    </row>
    <row r="183" spans="1:66" ht="15">
      <c r="A183" s="65" t="s">
        <v>317</v>
      </c>
      <c r="B183" s="65" t="s">
        <v>316</v>
      </c>
      <c r="C183" s="66" t="s">
        <v>2815</v>
      </c>
      <c r="D183" s="67">
        <v>3</v>
      </c>
      <c r="E183" s="66" t="s">
        <v>132</v>
      </c>
      <c r="F183" s="69">
        <v>32</v>
      </c>
      <c r="G183" s="66"/>
      <c r="H183" s="70"/>
      <c r="I183" s="71"/>
      <c r="J183" s="71"/>
      <c r="K183" s="35" t="s">
        <v>65</v>
      </c>
      <c r="L183" s="72">
        <v>183</v>
      </c>
      <c r="M183" s="72"/>
      <c r="N183" s="73"/>
      <c r="O183" s="80" t="s">
        <v>408</v>
      </c>
      <c r="P183" s="82">
        <v>44479.74773148148</v>
      </c>
      <c r="Q183" s="80" t="s">
        <v>467</v>
      </c>
      <c r="R183" s="85" t="str">
        <f>HYPERLINK("https://vegnews.com/2021/10/ashton-kutcher-cell-based-meat")</f>
        <v>https://vegnews.com/2021/10/ashton-kutcher-cell-based-meat</v>
      </c>
      <c r="S183" s="80" t="s">
        <v>532</v>
      </c>
      <c r="T183" s="80"/>
      <c r="U183" s="80"/>
      <c r="V183" s="85" t="str">
        <f>HYPERLINK("https://pbs.twimg.com/profile_images/2709275057/94a5687e696c0e4af3c330f666bdc384_normal.jpeg")</f>
        <v>https://pbs.twimg.com/profile_images/2709275057/94a5687e696c0e4af3c330f666bdc384_normal.jpeg</v>
      </c>
      <c r="W183" s="82">
        <v>44479.74773148148</v>
      </c>
      <c r="X183" s="87">
        <v>44479</v>
      </c>
      <c r="Y183" s="83" t="s">
        <v>662</v>
      </c>
      <c r="Z183" s="85" t="str">
        <f>HYPERLINK("https://twitter.com/philliprussopov/status/1447259818385977346")</f>
        <v>https://twitter.com/philliprussopov/status/1447259818385977346</v>
      </c>
      <c r="AA183" s="80"/>
      <c r="AB183" s="80"/>
      <c r="AC183" s="83" t="s">
        <v>845</v>
      </c>
      <c r="AD183" s="80"/>
      <c r="AE183" s="80" t="b">
        <v>0</v>
      </c>
      <c r="AF183" s="80">
        <v>0</v>
      </c>
      <c r="AG183" s="83" t="s">
        <v>952</v>
      </c>
      <c r="AH183" s="80" t="b">
        <v>0</v>
      </c>
      <c r="AI183" s="80" t="s">
        <v>967</v>
      </c>
      <c r="AJ183" s="80"/>
      <c r="AK183" s="83" t="s">
        <v>952</v>
      </c>
      <c r="AL183" s="80" t="b">
        <v>0</v>
      </c>
      <c r="AM183" s="80">
        <v>1</v>
      </c>
      <c r="AN183" s="83" t="s">
        <v>844</v>
      </c>
      <c r="AO183" s="83" t="s">
        <v>972</v>
      </c>
      <c r="AP183" s="80" t="b">
        <v>0</v>
      </c>
      <c r="AQ183" s="83" t="s">
        <v>844</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4</v>
      </c>
      <c r="BE183" s="79" t="str">
        <f>REPLACE(INDEX(GroupVertices[Group],MATCH(Edges[[#This Row],[Vertex 2]],GroupVertices[Vertex],0)),1,1,"")</f>
        <v>4</v>
      </c>
      <c r="BF183" s="49"/>
      <c r="BG183" s="50"/>
      <c r="BH183" s="49"/>
      <c r="BI183" s="50"/>
      <c r="BJ183" s="49"/>
      <c r="BK183" s="50"/>
      <c r="BL183" s="49"/>
      <c r="BM183" s="50"/>
      <c r="BN183" s="49"/>
    </row>
    <row r="184" spans="1:66" ht="15">
      <c r="A184" s="65" t="s">
        <v>317</v>
      </c>
      <c r="B184" s="65" t="s">
        <v>362</v>
      </c>
      <c r="C184" s="66" t="s">
        <v>2815</v>
      </c>
      <c r="D184" s="67">
        <v>3</v>
      </c>
      <c r="E184" s="66" t="s">
        <v>132</v>
      </c>
      <c r="F184" s="69">
        <v>32</v>
      </c>
      <c r="G184" s="66"/>
      <c r="H184" s="70"/>
      <c r="I184" s="71"/>
      <c r="J184" s="71"/>
      <c r="K184" s="35" t="s">
        <v>65</v>
      </c>
      <c r="L184" s="72">
        <v>184</v>
      </c>
      <c r="M184" s="72"/>
      <c r="N184" s="73"/>
      <c r="O184" s="80" t="s">
        <v>407</v>
      </c>
      <c r="P184" s="82">
        <v>44479.74773148148</v>
      </c>
      <c r="Q184" s="80" t="s">
        <v>467</v>
      </c>
      <c r="R184" s="85" t="str">
        <f>HYPERLINK("https://vegnews.com/2021/10/ashton-kutcher-cell-based-meat")</f>
        <v>https://vegnews.com/2021/10/ashton-kutcher-cell-based-meat</v>
      </c>
      <c r="S184" s="80" t="s">
        <v>532</v>
      </c>
      <c r="T184" s="80"/>
      <c r="U184" s="80"/>
      <c r="V184" s="85" t="str">
        <f>HYPERLINK("https://pbs.twimg.com/profile_images/2709275057/94a5687e696c0e4af3c330f666bdc384_normal.jpeg")</f>
        <v>https://pbs.twimg.com/profile_images/2709275057/94a5687e696c0e4af3c330f666bdc384_normal.jpeg</v>
      </c>
      <c r="W184" s="82">
        <v>44479.74773148148</v>
      </c>
      <c r="X184" s="87">
        <v>44479</v>
      </c>
      <c r="Y184" s="83" t="s">
        <v>662</v>
      </c>
      <c r="Z184" s="85" t="str">
        <f>HYPERLINK("https://twitter.com/philliprussopov/status/1447259818385977346")</f>
        <v>https://twitter.com/philliprussopov/status/1447259818385977346</v>
      </c>
      <c r="AA184" s="80"/>
      <c r="AB184" s="80"/>
      <c r="AC184" s="83" t="s">
        <v>845</v>
      </c>
      <c r="AD184" s="80"/>
      <c r="AE184" s="80" t="b">
        <v>0</v>
      </c>
      <c r="AF184" s="80">
        <v>0</v>
      </c>
      <c r="AG184" s="83" t="s">
        <v>952</v>
      </c>
      <c r="AH184" s="80" t="b">
        <v>0</v>
      </c>
      <c r="AI184" s="80" t="s">
        <v>967</v>
      </c>
      <c r="AJ184" s="80"/>
      <c r="AK184" s="83" t="s">
        <v>952</v>
      </c>
      <c r="AL184" s="80" t="b">
        <v>0</v>
      </c>
      <c r="AM184" s="80">
        <v>1</v>
      </c>
      <c r="AN184" s="83" t="s">
        <v>844</v>
      </c>
      <c r="AO184" s="83" t="s">
        <v>972</v>
      </c>
      <c r="AP184" s="80" t="b">
        <v>0</v>
      </c>
      <c r="AQ184" s="83" t="s">
        <v>844</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4</v>
      </c>
      <c r="BE184" s="79" t="str">
        <f>REPLACE(INDEX(GroupVertices[Group],MATCH(Edges[[#This Row],[Vertex 2]],GroupVertices[Vertex],0)),1,1,"")</f>
        <v>4</v>
      </c>
      <c r="BF184" s="49"/>
      <c r="BG184" s="50"/>
      <c r="BH184" s="49"/>
      <c r="BI184" s="50"/>
      <c r="BJ184" s="49"/>
      <c r="BK184" s="50"/>
      <c r="BL184" s="49"/>
      <c r="BM184" s="50"/>
      <c r="BN184" s="49"/>
    </row>
    <row r="185" spans="1:66" ht="15">
      <c r="A185" s="65" t="s">
        <v>317</v>
      </c>
      <c r="B185" s="65" t="s">
        <v>390</v>
      </c>
      <c r="C185" s="66" t="s">
        <v>2815</v>
      </c>
      <c r="D185" s="67">
        <v>3</v>
      </c>
      <c r="E185" s="66" t="s">
        <v>132</v>
      </c>
      <c r="F185" s="69">
        <v>32</v>
      </c>
      <c r="G185" s="66"/>
      <c r="H185" s="70"/>
      <c r="I185" s="71"/>
      <c r="J185" s="71"/>
      <c r="K185" s="35" t="s">
        <v>65</v>
      </c>
      <c r="L185" s="72">
        <v>185</v>
      </c>
      <c r="M185" s="72"/>
      <c r="N185" s="73"/>
      <c r="O185" s="80" t="s">
        <v>407</v>
      </c>
      <c r="P185" s="82">
        <v>44479.74773148148</v>
      </c>
      <c r="Q185" s="80" t="s">
        <v>467</v>
      </c>
      <c r="R185" s="85" t="str">
        <f>HYPERLINK("https://vegnews.com/2021/10/ashton-kutcher-cell-based-meat")</f>
        <v>https://vegnews.com/2021/10/ashton-kutcher-cell-based-meat</v>
      </c>
      <c r="S185" s="80" t="s">
        <v>532</v>
      </c>
      <c r="T185" s="80"/>
      <c r="U185" s="80"/>
      <c r="V185" s="85" t="str">
        <f>HYPERLINK("https://pbs.twimg.com/profile_images/2709275057/94a5687e696c0e4af3c330f666bdc384_normal.jpeg")</f>
        <v>https://pbs.twimg.com/profile_images/2709275057/94a5687e696c0e4af3c330f666bdc384_normal.jpeg</v>
      </c>
      <c r="W185" s="82">
        <v>44479.74773148148</v>
      </c>
      <c r="X185" s="87">
        <v>44479</v>
      </c>
      <c r="Y185" s="83" t="s">
        <v>662</v>
      </c>
      <c r="Z185" s="85" t="str">
        <f>HYPERLINK("https://twitter.com/philliprussopov/status/1447259818385977346")</f>
        <v>https://twitter.com/philliprussopov/status/1447259818385977346</v>
      </c>
      <c r="AA185" s="80"/>
      <c r="AB185" s="80"/>
      <c r="AC185" s="83" t="s">
        <v>845</v>
      </c>
      <c r="AD185" s="80"/>
      <c r="AE185" s="80" t="b">
        <v>0</v>
      </c>
      <c r="AF185" s="80">
        <v>0</v>
      </c>
      <c r="AG185" s="83" t="s">
        <v>952</v>
      </c>
      <c r="AH185" s="80" t="b">
        <v>0</v>
      </c>
      <c r="AI185" s="80" t="s">
        <v>967</v>
      </c>
      <c r="AJ185" s="80"/>
      <c r="AK185" s="83" t="s">
        <v>952</v>
      </c>
      <c r="AL185" s="80" t="b">
        <v>0</v>
      </c>
      <c r="AM185" s="80">
        <v>1</v>
      </c>
      <c r="AN185" s="83" t="s">
        <v>844</v>
      </c>
      <c r="AO185" s="83" t="s">
        <v>972</v>
      </c>
      <c r="AP185" s="80" t="b">
        <v>0</v>
      </c>
      <c r="AQ185" s="83" t="s">
        <v>844</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4</v>
      </c>
      <c r="BE185" s="79" t="str">
        <f>REPLACE(INDEX(GroupVertices[Group],MATCH(Edges[[#This Row],[Vertex 2]],GroupVertices[Vertex],0)),1,1,"")</f>
        <v>4</v>
      </c>
      <c r="BF185" s="49">
        <v>0</v>
      </c>
      <c r="BG185" s="50">
        <v>0</v>
      </c>
      <c r="BH185" s="49">
        <v>0</v>
      </c>
      <c r="BI185" s="50">
        <v>0</v>
      </c>
      <c r="BJ185" s="49">
        <v>0</v>
      </c>
      <c r="BK185" s="50">
        <v>0</v>
      </c>
      <c r="BL185" s="49">
        <v>20</v>
      </c>
      <c r="BM185" s="50">
        <v>100</v>
      </c>
      <c r="BN185" s="49">
        <v>20</v>
      </c>
    </row>
    <row r="186" spans="1:66" ht="15">
      <c r="A186" s="65" t="s">
        <v>318</v>
      </c>
      <c r="B186" s="65" t="s">
        <v>319</v>
      </c>
      <c r="C186" s="66" t="s">
        <v>2815</v>
      </c>
      <c r="D186" s="67">
        <v>3</v>
      </c>
      <c r="E186" s="66" t="s">
        <v>132</v>
      </c>
      <c r="F186" s="69">
        <v>32</v>
      </c>
      <c r="G186" s="66"/>
      <c r="H186" s="70"/>
      <c r="I186" s="71"/>
      <c r="J186" s="71"/>
      <c r="K186" s="35" t="s">
        <v>65</v>
      </c>
      <c r="L186" s="72">
        <v>186</v>
      </c>
      <c r="M186" s="72"/>
      <c r="N186" s="73"/>
      <c r="O186" s="80" t="s">
        <v>408</v>
      </c>
      <c r="P186" s="82">
        <v>44479.80997685185</v>
      </c>
      <c r="Q186" s="80" t="s">
        <v>420</v>
      </c>
      <c r="R186" s="85" t="str">
        <f>HYPERLINK("https://vision4thefuture.co/lab-made-dairy-products/")</f>
        <v>https://vision4thefuture.co/lab-made-dairy-products/</v>
      </c>
      <c r="S186" s="80" t="s">
        <v>519</v>
      </c>
      <c r="T186" s="83" t="s">
        <v>549</v>
      </c>
      <c r="U186" s="80"/>
      <c r="V186" s="85" t="str">
        <f>HYPERLINK("https://pbs.twimg.com/profile_images/1423802267937951745/MvyxLuiA_normal.jpg")</f>
        <v>https://pbs.twimg.com/profile_images/1423802267937951745/MvyxLuiA_normal.jpg</v>
      </c>
      <c r="W186" s="82">
        <v>44479.80997685185</v>
      </c>
      <c r="X186" s="87">
        <v>44479</v>
      </c>
      <c r="Y186" s="83" t="s">
        <v>663</v>
      </c>
      <c r="Z186" s="85" t="str">
        <f>HYPERLINK("https://twitter.com/rabigo369/status/1447282377781350408")</f>
        <v>https://twitter.com/rabigo369/status/1447282377781350408</v>
      </c>
      <c r="AA186" s="80"/>
      <c r="AB186" s="80"/>
      <c r="AC186" s="83" t="s">
        <v>846</v>
      </c>
      <c r="AD186" s="80"/>
      <c r="AE186" s="80" t="b">
        <v>0</v>
      </c>
      <c r="AF186" s="80">
        <v>0</v>
      </c>
      <c r="AG186" s="83" t="s">
        <v>952</v>
      </c>
      <c r="AH186" s="80" t="b">
        <v>0</v>
      </c>
      <c r="AI186" s="80" t="s">
        <v>967</v>
      </c>
      <c r="AJ186" s="80"/>
      <c r="AK186" s="83" t="s">
        <v>952</v>
      </c>
      <c r="AL186" s="80" t="b">
        <v>0</v>
      </c>
      <c r="AM186" s="80">
        <v>39</v>
      </c>
      <c r="AN186" s="83" t="s">
        <v>847</v>
      </c>
      <c r="AO186" s="83" t="s">
        <v>972</v>
      </c>
      <c r="AP186" s="80" t="b">
        <v>0</v>
      </c>
      <c r="AQ186" s="83" t="s">
        <v>847</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7</v>
      </c>
      <c r="BE186" s="79" t="str">
        <f>REPLACE(INDEX(GroupVertices[Group],MATCH(Edges[[#This Row],[Vertex 2]],GroupVertices[Vertex],0)),1,1,"")</f>
        <v>7</v>
      </c>
      <c r="BF186" s="49">
        <v>0</v>
      </c>
      <c r="BG186" s="50">
        <v>0</v>
      </c>
      <c r="BH186" s="49">
        <v>0</v>
      </c>
      <c r="BI186" s="50">
        <v>0</v>
      </c>
      <c r="BJ186" s="49">
        <v>0</v>
      </c>
      <c r="BK186" s="50">
        <v>0</v>
      </c>
      <c r="BL186" s="49">
        <v>34</v>
      </c>
      <c r="BM186" s="50">
        <v>100</v>
      </c>
      <c r="BN186" s="49">
        <v>34</v>
      </c>
    </row>
    <row r="187" spans="1:66" ht="15">
      <c r="A187" s="65" t="s">
        <v>319</v>
      </c>
      <c r="B187" s="65" t="s">
        <v>319</v>
      </c>
      <c r="C187" s="66" t="s">
        <v>2815</v>
      </c>
      <c r="D187" s="67">
        <v>3</v>
      </c>
      <c r="E187" s="66" t="s">
        <v>132</v>
      </c>
      <c r="F187" s="69">
        <v>32</v>
      </c>
      <c r="G187" s="66"/>
      <c r="H187" s="70"/>
      <c r="I187" s="71"/>
      <c r="J187" s="71"/>
      <c r="K187" s="35" t="s">
        <v>65</v>
      </c>
      <c r="L187" s="72">
        <v>187</v>
      </c>
      <c r="M187" s="72"/>
      <c r="N187" s="73"/>
      <c r="O187" s="80" t="s">
        <v>196</v>
      </c>
      <c r="P187" s="82">
        <v>44468.83519675926</v>
      </c>
      <c r="Q187" s="80" t="s">
        <v>420</v>
      </c>
      <c r="R187" s="85" t="str">
        <f>HYPERLINK("https://vision4thefuture.co/lab-made-dairy-products/")</f>
        <v>https://vision4thefuture.co/lab-made-dairy-products/</v>
      </c>
      <c r="S187" s="80" t="s">
        <v>519</v>
      </c>
      <c r="T187" s="83" t="s">
        <v>549</v>
      </c>
      <c r="U187" s="80"/>
      <c r="V187" s="85" t="str">
        <f>HYPERLINK("https://pbs.twimg.com/profile_images/805508045635809280/5kx8JJ4g_normal.jpg")</f>
        <v>https://pbs.twimg.com/profile_images/805508045635809280/5kx8JJ4g_normal.jpg</v>
      </c>
      <c r="W187" s="82">
        <v>44468.83519675926</v>
      </c>
      <c r="X187" s="87">
        <v>44468</v>
      </c>
      <c r="Y187" s="83" t="s">
        <v>664</v>
      </c>
      <c r="Z187" s="85" t="str">
        <f>HYPERLINK("https://twitter.com/vision4future1/status/1443305248240676866")</f>
        <v>https://twitter.com/vision4future1/status/1443305248240676866</v>
      </c>
      <c r="AA187" s="80"/>
      <c r="AB187" s="80"/>
      <c r="AC187" s="83" t="s">
        <v>847</v>
      </c>
      <c r="AD187" s="80"/>
      <c r="AE187" s="80" t="b">
        <v>0</v>
      </c>
      <c r="AF187" s="80">
        <v>24</v>
      </c>
      <c r="AG187" s="83" t="s">
        <v>952</v>
      </c>
      <c r="AH187" s="80" t="b">
        <v>0</v>
      </c>
      <c r="AI187" s="80" t="s">
        <v>967</v>
      </c>
      <c r="AJ187" s="80"/>
      <c r="AK187" s="83" t="s">
        <v>952</v>
      </c>
      <c r="AL187" s="80" t="b">
        <v>0</v>
      </c>
      <c r="AM187" s="80">
        <v>39</v>
      </c>
      <c r="AN187" s="83" t="s">
        <v>952</v>
      </c>
      <c r="AO187" s="83" t="s">
        <v>972</v>
      </c>
      <c r="AP187" s="80" t="b">
        <v>0</v>
      </c>
      <c r="AQ187" s="83" t="s">
        <v>847</v>
      </c>
      <c r="AR187" s="80" t="s">
        <v>408</v>
      </c>
      <c r="AS187" s="80">
        <v>0</v>
      </c>
      <c r="AT187" s="80">
        <v>0</v>
      </c>
      <c r="AU187" s="80"/>
      <c r="AV187" s="80"/>
      <c r="AW187" s="80"/>
      <c r="AX187" s="80"/>
      <c r="AY187" s="80"/>
      <c r="AZ187" s="80"/>
      <c r="BA187" s="80"/>
      <c r="BB187" s="80"/>
      <c r="BC187">
        <v>1</v>
      </c>
      <c r="BD187" s="79" t="str">
        <f>REPLACE(INDEX(GroupVertices[Group],MATCH(Edges[[#This Row],[Vertex 1]],GroupVertices[Vertex],0)),1,1,"")</f>
        <v>7</v>
      </c>
      <c r="BE187" s="79" t="str">
        <f>REPLACE(INDEX(GroupVertices[Group],MATCH(Edges[[#This Row],[Vertex 2]],GroupVertices[Vertex],0)),1,1,"")</f>
        <v>7</v>
      </c>
      <c r="BF187" s="49">
        <v>0</v>
      </c>
      <c r="BG187" s="50">
        <v>0</v>
      </c>
      <c r="BH187" s="49">
        <v>0</v>
      </c>
      <c r="BI187" s="50">
        <v>0</v>
      </c>
      <c r="BJ187" s="49">
        <v>0</v>
      </c>
      <c r="BK187" s="50">
        <v>0</v>
      </c>
      <c r="BL187" s="49">
        <v>34</v>
      </c>
      <c r="BM187" s="50">
        <v>100</v>
      </c>
      <c r="BN187" s="49">
        <v>34</v>
      </c>
    </row>
    <row r="188" spans="1:66" ht="15">
      <c r="A188" s="65" t="s">
        <v>320</v>
      </c>
      <c r="B188" s="65" t="s">
        <v>319</v>
      </c>
      <c r="C188" s="66" t="s">
        <v>2815</v>
      </c>
      <c r="D188" s="67">
        <v>3</v>
      </c>
      <c r="E188" s="66" t="s">
        <v>132</v>
      </c>
      <c r="F188" s="69">
        <v>32</v>
      </c>
      <c r="G188" s="66"/>
      <c r="H188" s="70"/>
      <c r="I188" s="71"/>
      <c r="J188" s="71"/>
      <c r="K188" s="35" t="s">
        <v>65</v>
      </c>
      <c r="L188" s="72">
        <v>188</v>
      </c>
      <c r="M188" s="72"/>
      <c r="N188" s="73"/>
      <c r="O188" s="80" t="s">
        <v>408</v>
      </c>
      <c r="P188" s="82">
        <v>44479.810636574075</v>
      </c>
      <c r="Q188" s="80" t="s">
        <v>420</v>
      </c>
      <c r="R188" s="85" t="str">
        <f>HYPERLINK("https://vision4thefuture.co/lab-made-dairy-products/")</f>
        <v>https://vision4thefuture.co/lab-made-dairy-products/</v>
      </c>
      <c r="S188" s="80" t="s">
        <v>519</v>
      </c>
      <c r="T188" s="83" t="s">
        <v>549</v>
      </c>
      <c r="U188" s="80"/>
      <c r="V188" s="85" t="str">
        <f>HYPERLINK("https://pbs.twimg.com/profile_images/1195955022196101120/ETMR2hp4_normal.jpg")</f>
        <v>https://pbs.twimg.com/profile_images/1195955022196101120/ETMR2hp4_normal.jpg</v>
      </c>
      <c r="W188" s="82">
        <v>44479.810636574075</v>
      </c>
      <c r="X188" s="87">
        <v>44479</v>
      </c>
      <c r="Y188" s="83" t="s">
        <v>665</v>
      </c>
      <c r="Z188" s="85" t="str">
        <f>HYPERLINK("https://twitter.com/oracleatmushin/status/1447282615958978560")</f>
        <v>https://twitter.com/oracleatmushin/status/1447282615958978560</v>
      </c>
      <c r="AA188" s="80"/>
      <c r="AB188" s="80"/>
      <c r="AC188" s="83" t="s">
        <v>848</v>
      </c>
      <c r="AD188" s="80"/>
      <c r="AE188" s="80" t="b">
        <v>0</v>
      </c>
      <c r="AF188" s="80">
        <v>0</v>
      </c>
      <c r="AG188" s="83" t="s">
        <v>952</v>
      </c>
      <c r="AH188" s="80" t="b">
        <v>0</v>
      </c>
      <c r="AI188" s="80" t="s">
        <v>967</v>
      </c>
      <c r="AJ188" s="80"/>
      <c r="AK188" s="83" t="s">
        <v>952</v>
      </c>
      <c r="AL188" s="80" t="b">
        <v>0</v>
      </c>
      <c r="AM188" s="80">
        <v>39</v>
      </c>
      <c r="AN188" s="83" t="s">
        <v>847</v>
      </c>
      <c r="AO188" s="83" t="s">
        <v>972</v>
      </c>
      <c r="AP188" s="80" t="b">
        <v>0</v>
      </c>
      <c r="AQ188" s="83" t="s">
        <v>847</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7</v>
      </c>
      <c r="BE188" s="79" t="str">
        <f>REPLACE(INDEX(GroupVertices[Group],MATCH(Edges[[#This Row],[Vertex 2]],GroupVertices[Vertex],0)),1,1,"")</f>
        <v>7</v>
      </c>
      <c r="BF188" s="49">
        <v>0</v>
      </c>
      <c r="BG188" s="50">
        <v>0</v>
      </c>
      <c r="BH188" s="49">
        <v>0</v>
      </c>
      <c r="BI188" s="50">
        <v>0</v>
      </c>
      <c r="BJ188" s="49">
        <v>0</v>
      </c>
      <c r="BK188" s="50">
        <v>0</v>
      </c>
      <c r="BL188" s="49">
        <v>34</v>
      </c>
      <c r="BM188" s="50">
        <v>100</v>
      </c>
      <c r="BN188" s="49">
        <v>34</v>
      </c>
    </row>
    <row r="189" spans="1:66" ht="15">
      <c r="A189" s="65" t="s">
        <v>321</v>
      </c>
      <c r="B189" s="65" t="s">
        <v>377</v>
      </c>
      <c r="C189" s="66" t="s">
        <v>2818</v>
      </c>
      <c r="D189" s="67">
        <v>10</v>
      </c>
      <c r="E189" s="66" t="s">
        <v>136</v>
      </c>
      <c r="F189" s="69">
        <v>25.5</v>
      </c>
      <c r="G189" s="66"/>
      <c r="H189" s="70"/>
      <c r="I189" s="71"/>
      <c r="J189" s="71"/>
      <c r="K189" s="35" t="s">
        <v>65</v>
      </c>
      <c r="L189" s="72">
        <v>189</v>
      </c>
      <c r="M189" s="72"/>
      <c r="N189" s="73"/>
      <c r="O189" s="80" t="s">
        <v>407</v>
      </c>
      <c r="P189" s="82">
        <v>44476.417395833334</v>
      </c>
      <c r="Q189" s="80" t="s">
        <v>432</v>
      </c>
      <c r="R189" s="85" t="str">
        <f>HYPERLINK("https://econ.trib.al/UuLdSAj")</f>
        <v>https://econ.trib.al/UuLdSAj</v>
      </c>
      <c r="S189" s="80" t="s">
        <v>528</v>
      </c>
      <c r="T189" s="80"/>
      <c r="U189" s="80"/>
      <c r="V189" s="85" t="str">
        <f>HYPERLINK("https://abs.twimg.com/sticky/default_profile_images/default_profile_normal.png")</f>
        <v>https://abs.twimg.com/sticky/default_profile_images/default_profile_normal.png</v>
      </c>
      <c r="W189" s="82">
        <v>44476.417395833334</v>
      </c>
      <c r="X189" s="87">
        <v>44476</v>
      </c>
      <c r="Y189" s="83" t="s">
        <v>666</v>
      </c>
      <c r="Z189" s="85" t="str">
        <f>HYPERLINK("https://twitter.com/deduped_economi/status/1446052947452784649")</f>
        <v>https://twitter.com/deduped_economi/status/1446052947452784649</v>
      </c>
      <c r="AA189" s="80"/>
      <c r="AB189" s="80"/>
      <c r="AC189" s="83" t="s">
        <v>849</v>
      </c>
      <c r="AD189" s="80"/>
      <c r="AE189" s="80" t="b">
        <v>0</v>
      </c>
      <c r="AF189" s="80">
        <v>0</v>
      </c>
      <c r="AG189" s="83" t="s">
        <v>952</v>
      </c>
      <c r="AH189" s="80" t="b">
        <v>0</v>
      </c>
      <c r="AI189" s="80" t="s">
        <v>967</v>
      </c>
      <c r="AJ189" s="80"/>
      <c r="AK189" s="83" t="s">
        <v>952</v>
      </c>
      <c r="AL189" s="80" t="b">
        <v>0</v>
      </c>
      <c r="AM189" s="80">
        <v>11</v>
      </c>
      <c r="AN189" s="83" t="s">
        <v>894</v>
      </c>
      <c r="AO189" s="83" t="s">
        <v>989</v>
      </c>
      <c r="AP189" s="80" t="b">
        <v>0</v>
      </c>
      <c r="AQ189" s="83" t="s">
        <v>894</v>
      </c>
      <c r="AR189" s="80" t="s">
        <v>196</v>
      </c>
      <c r="AS189" s="80">
        <v>0</v>
      </c>
      <c r="AT189" s="80">
        <v>0</v>
      </c>
      <c r="AU189" s="80"/>
      <c r="AV189" s="80"/>
      <c r="AW189" s="80"/>
      <c r="AX189" s="80"/>
      <c r="AY189" s="80"/>
      <c r="AZ189" s="80"/>
      <c r="BA189" s="80"/>
      <c r="BB189" s="80"/>
      <c r="BC189">
        <v>3</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321</v>
      </c>
      <c r="B190" s="65" t="s">
        <v>331</v>
      </c>
      <c r="C190" s="66" t="s">
        <v>2818</v>
      </c>
      <c r="D190" s="67">
        <v>10</v>
      </c>
      <c r="E190" s="66" t="s">
        <v>136</v>
      </c>
      <c r="F190" s="69">
        <v>25.5</v>
      </c>
      <c r="G190" s="66"/>
      <c r="H190" s="70"/>
      <c r="I190" s="71"/>
      <c r="J190" s="71"/>
      <c r="K190" s="35" t="s">
        <v>65</v>
      </c>
      <c r="L190" s="72">
        <v>190</v>
      </c>
      <c r="M190" s="72"/>
      <c r="N190" s="73"/>
      <c r="O190" s="80" t="s">
        <v>407</v>
      </c>
      <c r="P190" s="82">
        <v>44476.417395833334</v>
      </c>
      <c r="Q190" s="80" t="s">
        <v>432</v>
      </c>
      <c r="R190" s="85" t="str">
        <f>HYPERLINK("https://econ.trib.al/UuLdSAj")</f>
        <v>https://econ.trib.al/UuLdSAj</v>
      </c>
      <c r="S190" s="80" t="s">
        <v>528</v>
      </c>
      <c r="T190" s="80"/>
      <c r="U190" s="80"/>
      <c r="V190" s="85" t="str">
        <f>HYPERLINK("https://abs.twimg.com/sticky/default_profile_images/default_profile_normal.png")</f>
        <v>https://abs.twimg.com/sticky/default_profile_images/default_profile_normal.png</v>
      </c>
      <c r="W190" s="82">
        <v>44476.417395833334</v>
      </c>
      <c r="X190" s="87">
        <v>44476</v>
      </c>
      <c r="Y190" s="83" t="s">
        <v>666</v>
      </c>
      <c r="Z190" s="85" t="str">
        <f>HYPERLINK("https://twitter.com/deduped_economi/status/1446052947452784649")</f>
        <v>https://twitter.com/deduped_economi/status/1446052947452784649</v>
      </c>
      <c r="AA190" s="80"/>
      <c r="AB190" s="80"/>
      <c r="AC190" s="83" t="s">
        <v>849</v>
      </c>
      <c r="AD190" s="80"/>
      <c r="AE190" s="80" t="b">
        <v>0</v>
      </c>
      <c r="AF190" s="80">
        <v>0</v>
      </c>
      <c r="AG190" s="83" t="s">
        <v>952</v>
      </c>
      <c r="AH190" s="80" t="b">
        <v>0</v>
      </c>
      <c r="AI190" s="80" t="s">
        <v>967</v>
      </c>
      <c r="AJ190" s="80"/>
      <c r="AK190" s="83" t="s">
        <v>952</v>
      </c>
      <c r="AL190" s="80" t="b">
        <v>0</v>
      </c>
      <c r="AM190" s="80">
        <v>11</v>
      </c>
      <c r="AN190" s="83" t="s">
        <v>894</v>
      </c>
      <c r="AO190" s="83" t="s">
        <v>989</v>
      </c>
      <c r="AP190" s="80" t="b">
        <v>0</v>
      </c>
      <c r="AQ190" s="83" t="s">
        <v>894</v>
      </c>
      <c r="AR190" s="80" t="s">
        <v>196</v>
      </c>
      <c r="AS190" s="80">
        <v>0</v>
      </c>
      <c r="AT190" s="80">
        <v>0</v>
      </c>
      <c r="AU190" s="80"/>
      <c r="AV190" s="80"/>
      <c r="AW190" s="80"/>
      <c r="AX190" s="80"/>
      <c r="AY190" s="80"/>
      <c r="AZ190" s="80"/>
      <c r="BA190" s="80"/>
      <c r="BB190" s="80"/>
      <c r="BC190">
        <v>3</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321</v>
      </c>
      <c r="B191" s="65" t="s">
        <v>378</v>
      </c>
      <c r="C191" s="66" t="s">
        <v>2818</v>
      </c>
      <c r="D191" s="67">
        <v>10</v>
      </c>
      <c r="E191" s="66" t="s">
        <v>136</v>
      </c>
      <c r="F191" s="69">
        <v>25.5</v>
      </c>
      <c r="G191" s="66"/>
      <c r="H191" s="70"/>
      <c r="I191" s="71"/>
      <c r="J191" s="71"/>
      <c r="K191" s="35" t="s">
        <v>65</v>
      </c>
      <c r="L191" s="72">
        <v>191</v>
      </c>
      <c r="M191" s="72"/>
      <c r="N191" s="73"/>
      <c r="O191" s="80" t="s">
        <v>407</v>
      </c>
      <c r="P191" s="82">
        <v>44476.417395833334</v>
      </c>
      <c r="Q191" s="80" t="s">
        <v>432</v>
      </c>
      <c r="R191" s="85" t="str">
        <f>HYPERLINK("https://econ.trib.al/UuLdSAj")</f>
        <v>https://econ.trib.al/UuLdSAj</v>
      </c>
      <c r="S191" s="80" t="s">
        <v>528</v>
      </c>
      <c r="T191" s="80"/>
      <c r="U191" s="80"/>
      <c r="V191" s="85" t="str">
        <f>HYPERLINK("https://abs.twimg.com/sticky/default_profile_images/default_profile_normal.png")</f>
        <v>https://abs.twimg.com/sticky/default_profile_images/default_profile_normal.png</v>
      </c>
      <c r="W191" s="82">
        <v>44476.417395833334</v>
      </c>
      <c r="X191" s="87">
        <v>44476</v>
      </c>
      <c r="Y191" s="83" t="s">
        <v>666</v>
      </c>
      <c r="Z191" s="85" t="str">
        <f>HYPERLINK("https://twitter.com/deduped_economi/status/1446052947452784649")</f>
        <v>https://twitter.com/deduped_economi/status/1446052947452784649</v>
      </c>
      <c r="AA191" s="80"/>
      <c r="AB191" s="80"/>
      <c r="AC191" s="83" t="s">
        <v>849</v>
      </c>
      <c r="AD191" s="80"/>
      <c r="AE191" s="80" t="b">
        <v>0</v>
      </c>
      <c r="AF191" s="80">
        <v>0</v>
      </c>
      <c r="AG191" s="83" t="s">
        <v>952</v>
      </c>
      <c r="AH191" s="80" t="b">
        <v>0</v>
      </c>
      <c r="AI191" s="80" t="s">
        <v>967</v>
      </c>
      <c r="AJ191" s="80"/>
      <c r="AK191" s="83" t="s">
        <v>952</v>
      </c>
      <c r="AL191" s="80" t="b">
        <v>0</v>
      </c>
      <c r="AM191" s="80">
        <v>11</v>
      </c>
      <c r="AN191" s="83" t="s">
        <v>894</v>
      </c>
      <c r="AO191" s="83" t="s">
        <v>989</v>
      </c>
      <c r="AP191" s="80" t="b">
        <v>0</v>
      </c>
      <c r="AQ191" s="83" t="s">
        <v>894</v>
      </c>
      <c r="AR191" s="80" t="s">
        <v>196</v>
      </c>
      <c r="AS191" s="80">
        <v>0</v>
      </c>
      <c r="AT191" s="80">
        <v>0</v>
      </c>
      <c r="AU191" s="80"/>
      <c r="AV191" s="80"/>
      <c r="AW191" s="80"/>
      <c r="AX191" s="80"/>
      <c r="AY191" s="80"/>
      <c r="AZ191" s="80"/>
      <c r="BA191" s="80"/>
      <c r="BB191" s="80"/>
      <c r="BC191">
        <v>3</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321</v>
      </c>
      <c r="B192" s="65" t="s">
        <v>342</v>
      </c>
      <c r="C192" s="66" t="s">
        <v>2818</v>
      </c>
      <c r="D192" s="67">
        <v>10</v>
      </c>
      <c r="E192" s="66" t="s">
        <v>136</v>
      </c>
      <c r="F192" s="69">
        <v>25.5</v>
      </c>
      <c r="G192" s="66"/>
      <c r="H192" s="70"/>
      <c r="I192" s="71"/>
      <c r="J192" s="71"/>
      <c r="K192" s="35" t="s">
        <v>65</v>
      </c>
      <c r="L192" s="72">
        <v>192</v>
      </c>
      <c r="M192" s="72"/>
      <c r="N192" s="73"/>
      <c r="O192" s="80" t="s">
        <v>408</v>
      </c>
      <c r="P192" s="82">
        <v>44476.417395833334</v>
      </c>
      <c r="Q192" s="80" t="s">
        <v>432</v>
      </c>
      <c r="R192" s="85" t="str">
        <f>HYPERLINK("https://econ.trib.al/UuLdSAj")</f>
        <v>https://econ.trib.al/UuLdSAj</v>
      </c>
      <c r="S192" s="80" t="s">
        <v>528</v>
      </c>
      <c r="T192" s="80"/>
      <c r="U192" s="80"/>
      <c r="V192" s="85" t="str">
        <f>HYPERLINK("https://abs.twimg.com/sticky/default_profile_images/default_profile_normal.png")</f>
        <v>https://abs.twimg.com/sticky/default_profile_images/default_profile_normal.png</v>
      </c>
      <c r="W192" s="82">
        <v>44476.417395833334</v>
      </c>
      <c r="X192" s="87">
        <v>44476</v>
      </c>
      <c r="Y192" s="83" t="s">
        <v>666</v>
      </c>
      <c r="Z192" s="85" t="str">
        <f>HYPERLINK("https://twitter.com/deduped_economi/status/1446052947452784649")</f>
        <v>https://twitter.com/deduped_economi/status/1446052947452784649</v>
      </c>
      <c r="AA192" s="80"/>
      <c r="AB192" s="80"/>
      <c r="AC192" s="83" t="s">
        <v>849</v>
      </c>
      <c r="AD192" s="80"/>
      <c r="AE192" s="80" t="b">
        <v>0</v>
      </c>
      <c r="AF192" s="80">
        <v>0</v>
      </c>
      <c r="AG192" s="83" t="s">
        <v>952</v>
      </c>
      <c r="AH192" s="80" t="b">
        <v>0</v>
      </c>
      <c r="AI192" s="80" t="s">
        <v>967</v>
      </c>
      <c r="AJ192" s="80"/>
      <c r="AK192" s="83" t="s">
        <v>952</v>
      </c>
      <c r="AL192" s="80" t="b">
        <v>0</v>
      </c>
      <c r="AM192" s="80">
        <v>11</v>
      </c>
      <c r="AN192" s="83" t="s">
        <v>894</v>
      </c>
      <c r="AO192" s="83" t="s">
        <v>989</v>
      </c>
      <c r="AP192" s="80" t="b">
        <v>0</v>
      </c>
      <c r="AQ192" s="83" t="s">
        <v>894</v>
      </c>
      <c r="AR192" s="80" t="s">
        <v>196</v>
      </c>
      <c r="AS192" s="80">
        <v>0</v>
      </c>
      <c r="AT192" s="80">
        <v>0</v>
      </c>
      <c r="AU192" s="80"/>
      <c r="AV192" s="80"/>
      <c r="AW192" s="80"/>
      <c r="AX192" s="80"/>
      <c r="AY192" s="80"/>
      <c r="AZ192" s="80"/>
      <c r="BA192" s="80"/>
      <c r="BB192" s="80"/>
      <c r="BC192">
        <v>3</v>
      </c>
      <c r="BD192" s="79" t="str">
        <f>REPLACE(INDEX(GroupVertices[Group],MATCH(Edges[[#This Row],[Vertex 1]],GroupVertices[Vertex],0)),1,1,"")</f>
        <v>1</v>
      </c>
      <c r="BE192" s="79" t="str">
        <f>REPLACE(INDEX(GroupVertices[Group],MATCH(Edges[[#This Row],[Vertex 2]],GroupVertices[Vertex],0)),1,1,"")</f>
        <v>1</v>
      </c>
      <c r="BF192" s="49">
        <v>0</v>
      </c>
      <c r="BG192" s="50">
        <v>0</v>
      </c>
      <c r="BH192" s="49">
        <v>0</v>
      </c>
      <c r="BI192" s="50">
        <v>0</v>
      </c>
      <c r="BJ192" s="49">
        <v>0</v>
      </c>
      <c r="BK192" s="50">
        <v>0</v>
      </c>
      <c r="BL192" s="49">
        <v>34</v>
      </c>
      <c r="BM192" s="50">
        <v>100</v>
      </c>
      <c r="BN192" s="49">
        <v>34</v>
      </c>
    </row>
    <row r="193" spans="1:66" ht="15">
      <c r="A193" s="65" t="s">
        <v>321</v>
      </c>
      <c r="B193" s="65" t="s">
        <v>377</v>
      </c>
      <c r="C193" s="66" t="s">
        <v>2818</v>
      </c>
      <c r="D193" s="67">
        <v>10</v>
      </c>
      <c r="E193" s="66" t="s">
        <v>136</v>
      </c>
      <c r="F193" s="69">
        <v>25.5</v>
      </c>
      <c r="G193" s="66"/>
      <c r="H193" s="70"/>
      <c r="I193" s="71"/>
      <c r="J193" s="71"/>
      <c r="K193" s="35" t="s">
        <v>65</v>
      </c>
      <c r="L193" s="72">
        <v>193</v>
      </c>
      <c r="M193" s="72"/>
      <c r="N193" s="73"/>
      <c r="O193" s="80" t="s">
        <v>407</v>
      </c>
      <c r="P193" s="82">
        <v>44478.16738425926</v>
      </c>
      <c r="Q193" s="80" t="s">
        <v>452</v>
      </c>
      <c r="R193" s="85" t="str">
        <f>HYPERLINK("https://econ.trib.al/B6siniM")</f>
        <v>https://econ.trib.al/B6siniM</v>
      </c>
      <c r="S193" s="80" t="s">
        <v>528</v>
      </c>
      <c r="T193" s="80"/>
      <c r="U193" s="80"/>
      <c r="V193" s="85" t="str">
        <f>HYPERLINK("https://abs.twimg.com/sticky/default_profile_images/default_profile_normal.png")</f>
        <v>https://abs.twimg.com/sticky/default_profile_images/default_profile_normal.png</v>
      </c>
      <c r="W193" s="82">
        <v>44478.16738425926</v>
      </c>
      <c r="X193" s="87">
        <v>44478</v>
      </c>
      <c r="Y193" s="83" t="s">
        <v>667</v>
      </c>
      <c r="Z193" s="85" t="str">
        <f>HYPERLINK("https://twitter.com/deduped_economi/status/1446687122274983938")</f>
        <v>https://twitter.com/deduped_economi/status/1446687122274983938</v>
      </c>
      <c r="AA193" s="80"/>
      <c r="AB193" s="80"/>
      <c r="AC193" s="83" t="s">
        <v>850</v>
      </c>
      <c r="AD193" s="80"/>
      <c r="AE193" s="80" t="b">
        <v>0</v>
      </c>
      <c r="AF193" s="80">
        <v>0</v>
      </c>
      <c r="AG193" s="83" t="s">
        <v>952</v>
      </c>
      <c r="AH193" s="80" t="b">
        <v>0</v>
      </c>
      <c r="AI193" s="80" t="s">
        <v>967</v>
      </c>
      <c r="AJ193" s="80"/>
      <c r="AK193" s="83" t="s">
        <v>952</v>
      </c>
      <c r="AL193" s="80" t="b">
        <v>0</v>
      </c>
      <c r="AM193" s="80">
        <v>12</v>
      </c>
      <c r="AN193" s="83" t="s">
        <v>895</v>
      </c>
      <c r="AO193" s="83" t="s">
        <v>989</v>
      </c>
      <c r="AP193" s="80" t="b">
        <v>0</v>
      </c>
      <c r="AQ193" s="83" t="s">
        <v>895</v>
      </c>
      <c r="AR193" s="80" t="s">
        <v>196</v>
      </c>
      <c r="AS193" s="80">
        <v>0</v>
      </c>
      <c r="AT193" s="80">
        <v>0</v>
      </c>
      <c r="AU193" s="80"/>
      <c r="AV193" s="80"/>
      <c r="AW193" s="80"/>
      <c r="AX193" s="80"/>
      <c r="AY193" s="80"/>
      <c r="AZ193" s="80"/>
      <c r="BA193" s="80"/>
      <c r="BB193" s="80"/>
      <c r="BC193">
        <v>3</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321</v>
      </c>
      <c r="B194" s="65" t="s">
        <v>331</v>
      </c>
      <c r="C194" s="66" t="s">
        <v>2818</v>
      </c>
      <c r="D194" s="67">
        <v>10</v>
      </c>
      <c r="E194" s="66" t="s">
        <v>136</v>
      </c>
      <c r="F194" s="69">
        <v>25.5</v>
      </c>
      <c r="G194" s="66"/>
      <c r="H194" s="70"/>
      <c r="I194" s="71"/>
      <c r="J194" s="71"/>
      <c r="K194" s="35" t="s">
        <v>65</v>
      </c>
      <c r="L194" s="72">
        <v>194</v>
      </c>
      <c r="M194" s="72"/>
      <c r="N194" s="73"/>
      <c r="O194" s="80" t="s">
        <v>407</v>
      </c>
      <c r="P194" s="82">
        <v>44478.16738425926</v>
      </c>
      <c r="Q194" s="80" t="s">
        <v>452</v>
      </c>
      <c r="R194" s="85" t="str">
        <f>HYPERLINK("https://econ.trib.al/B6siniM")</f>
        <v>https://econ.trib.al/B6siniM</v>
      </c>
      <c r="S194" s="80" t="s">
        <v>528</v>
      </c>
      <c r="T194" s="80"/>
      <c r="U194" s="80"/>
      <c r="V194" s="85" t="str">
        <f>HYPERLINK("https://abs.twimg.com/sticky/default_profile_images/default_profile_normal.png")</f>
        <v>https://abs.twimg.com/sticky/default_profile_images/default_profile_normal.png</v>
      </c>
      <c r="W194" s="82">
        <v>44478.16738425926</v>
      </c>
      <c r="X194" s="87">
        <v>44478</v>
      </c>
      <c r="Y194" s="83" t="s">
        <v>667</v>
      </c>
      <c r="Z194" s="85" t="str">
        <f>HYPERLINK("https://twitter.com/deduped_economi/status/1446687122274983938")</f>
        <v>https://twitter.com/deduped_economi/status/1446687122274983938</v>
      </c>
      <c r="AA194" s="80"/>
      <c r="AB194" s="80"/>
      <c r="AC194" s="83" t="s">
        <v>850</v>
      </c>
      <c r="AD194" s="80"/>
      <c r="AE194" s="80" t="b">
        <v>0</v>
      </c>
      <c r="AF194" s="80">
        <v>0</v>
      </c>
      <c r="AG194" s="83" t="s">
        <v>952</v>
      </c>
      <c r="AH194" s="80" t="b">
        <v>0</v>
      </c>
      <c r="AI194" s="80" t="s">
        <v>967</v>
      </c>
      <c r="AJ194" s="80"/>
      <c r="AK194" s="83" t="s">
        <v>952</v>
      </c>
      <c r="AL194" s="80" t="b">
        <v>0</v>
      </c>
      <c r="AM194" s="80">
        <v>12</v>
      </c>
      <c r="AN194" s="83" t="s">
        <v>895</v>
      </c>
      <c r="AO194" s="83" t="s">
        <v>989</v>
      </c>
      <c r="AP194" s="80" t="b">
        <v>0</v>
      </c>
      <c r="AQ194" s="83" t="s">
        <v>895</v>
      </c>
      <c r="AR194" s="80" t="s">
        <v>196</v>
      </c>
      <c r="AS194" s="80">
        <v>0</v>
      </c>
      <c r="AT194" s="80">
        <v>0</v>
      </c>
      <c r="AU194" s="80"/>
      <c r="AV194" s="80"/>
      <c r="AW194" s="80"/>
      <c r="AX194" s="80"/>
      <c r="AY194" s="80"/>
      <c r="AZ194" s="80"/>
      <c r="BA194" s="80"/>
      <c r="BB194" s="80"/>
      <c r="BC194">
        <v>3</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321</v>
      </c>
      <c r="B195" s="65" t="s">
        <v>378</v>
      </c>
      <c r="C195" s="66" t="s">
        <v>2818</v>
      </c>
      <c r="D195" s="67">
        <v>10</v>
      </c>
      <c r="E195" s="66" t="s">
        <v>136</v>
      </c>
      <c r="F195" s="69">
        <v>25.5</v>
      </c>
      <c r="G195" s="66"/>
      <c r="H195" s="70"/>
      <c r="I195" s="71"/>
      <c r="J195" s="71"/>
      <c r="K195" s="35" t="s">
        <v>65</v>
      </c>
      <c r="L195" s="72">
        <v>195</v>
      </c>
      <c r="M195" s="72"/>
      <c r="N195" s="73"/>
      <c r="O195" s="80" t="s">
        <v>407</v>
      </c>
      <c r="P195" s="82">
        <v>44478.16738425926</v>
      </c>
      <c r="Q195" s="80" t="s">
        <v>452</v>
      </c>
      <c r="R195" s="85" t="str">
        <f>HYPERLINK("https://econ.trib.al/B6siniM")</f>
        <v>https://econ.trib.al/B6siniM</v>
      </c>
      <c r="S195" s="80" t="s">
        <v>528</v>
      </c>
      <c r="T195" s="80"/>
      <c r="U195" s="80"/>
      <c r="V195" s="85" t="str">
        <f>HYPERLINK("https://abs.twimg.com/sticky/default_profile_images/default_profile_normal.png")</f>
        <v>https://abs.twimg.com/sticky/default_profile_images/default_profile_normal.png</v>
      </c>
      <c r="W195" s="82">
        <v>44478.16738425926</v>
      </c>
      <c r="X195" s="87">
        <v>44478</v>
      </c>
      <c r="Y195" s="83" t="s">
        <v>667</v>
      </c>
      <c r="Z195" s="85" t="str">
        <f>HYPERLINK("https://twitter.com/deduped_economi/status/1446687122274983938")</f>
        <v>https://twitter.com/deduped_economi/status/1446687122274983938</v>
      </c>
      <c r="AA195" s="80"/>
      <c r="AB195" s="80"/>
      <c r="AC195" s="83" t="s">
        <v>850</v>
      </c>
      <c r="AD195" s="80"/>
      <c r="AE195" s="80" t="b">
        <v>0</v>
      </c>
      <c r="AF195" s="80">
        <v>0</v>
      </c>
      <c r="AG195" s="83" t="s">
        <v>952</v>
      </c>
      <c r="AH195" s="80" t="b">
        <v>0</v>
      </c>
      <c r="AI195" s="80" t="s">
        <v>967</v>
      </c>
      <c r="AJ195" s="80"/>
      <c r="AK195" s="83" t="s">
        <v>952</v>
      </c>
      <c r="AL195" s="80" t="b">
        <v>0</v>
      </c>
      <c r="AM195" s="80">
        <v>12</v>
      </c>
      <c r="AN195" s="83" t="s">
        <v>895</v>
      </c>
      <c r="AO195" s="83" t="s">
        <v>989</v>
      </c>
      <c r="AP195" s="80" t="b">
        <v>0</v>
      </c>
      <c r="AQ195" s="83" t="s">
        <v>895</v>
      </c>
      <c r="AR195" s="80" t="s">
        <v>196</v>
      </c>
      <c r="AS195" s="80">
        <v>0</v>
      </c>
      <c r="AT195" s="80">
        <v>0</v>
      </c>
      <c r="AU195" s="80"/>
      <c r="AV195" s="80"/>
      <c r="AW195" s="80"/>
      <c r="AX195" s="80"/>
      <c r="AY195" s="80"/>
      <c r="AZ195" s="80"/>
      <c r="BA195" s="80"/>
      <c r="BB195" s="80"/>
      <c r="BC195">
        <v>3</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321</v>
      </c>
      <c r="B196" s="65" t="s">
        <v>342</v>
      </c>
      <c r="C196" s="66" t="s">
        <v>2818</v>
      </c>
      <c r="D196" s="67">
        <v>10</v>
      </c>
      <c r="E196" s="66" t="s">
        <v>136</v>
      </c>
      <c r="F196" s="69">
        <v>25.5</v>
      </c>
      <c r="G196" s="66"/>
      <c r="H196" s="70"/>
      <c r="I196" s="71"/>
      <c r="J196" s="71"/>
      <c r="K196" s="35" t="s">
        <v>65</v>
      </c>
      <c r="L196" s="72">
        <v>196</v>
      </c>
      <c r="M196" s="72"/>
      <c r="N196" s="73"/>
      <c r="O196" s="80" t="s">
        <v>408</v>
      </c>
      <c r="P196" s="82">
        <v>44478.16738425926</v>
      </c>
      <c r="Q196" s="80" t="s">
        <v>452</v>
      </c>
      <c r="R196" s="85" t="str">
        <f>HYPERLINK("https://econ.trib.al/B6siniM")</f>
        <v>https://econ.trib.al/B6siniM</v>
      </c>
      <c r="S196" s="80" t="s">
        <v>528</v>
      </c>
      <c r="T196" s="80"/>
      <c r="U196" s="80"/>
      <c r="V196" s="85" t="str">
        <f>HYPERLINK("https://abs.twimg.com/sticky/default_profile_images/default_profile_normal.png")</f>
        <v>https://abs.twimg.com/sticky/default_profile_images/default_profile_normal.png</v>
      </c>
      <c r="W196" s="82">
        <v>44478.16738425926</v>
      </c>
      <c r="X196" s="87">
        <v>44478</v>
      </c>
      <c r="Y196" s="83" t="s">
        <v>667</v>
      </c>
      <c r="Z196" s="85" t="str">
        <f>HYPERLINK("https://twitter.com/deduped_economi/status/1446687122274983938")</f>
        <v>https://twitter.com/deduped_economi/status/1446687122274983938</v>
      </c>
      <c r="AA196" s="80"/>
      <c r="AB196" s="80"/>
      <c r="AC196" s="83" t="s">
        <v>850</v>
      </c>
      <c r="AD196" s="80"/>
      <c r="AE196" s="80" t="b">
        <v>0</v>
      </c>
      <c r="AF196" s="80">
        <v>0</v>
      </c>
      <c r="AG196" s="83" t="s">
        <v>952</v>
      </c>
      <c r="AH196" s="80" t="b">
        <v>0</v>
      </c>
      <c r="AI196" s="80" t="s">
        <v>967</v>
      </c>
      <c r="AJ196" s="80"/>
      <c r="AK196" s="83" t="s">
        <v>952</v>
      </c>
      <c r="AL196" s="80" t="b">
        <v>0</v>
      </c>
      <c r="AM196" s="80">
        <v>12</v>
      </c>
      <c r="AN196" s="83" t="s">
        <v>895</v>
      </c>
      <c r="AO196" s="83" t="s">
        <v>989</v>
      </c>
      <c r="AP196" s="80" t="b">
        <v>0</v>
      </c>
      <c r="AQ196" s="83" t="s">
        <v>895</v>
      </c>
      <c r="AR196" s="80" t="s">
        <v>196</v>
      </c>
      <c r="AS196" s="80">
        <v>0</v>
      </c>
      <c r="AT196" s="80">
        <v>0</v>
      </c>
      <c r="AU196" s="80"/>
      <c r="AV196" s="80"/>
      <c r="AW196" s="80"/>
      <c r="AX196" s="80"/>
      <c r="AY196" s="80"/>
      <c r="AZ196" s="80"/>
      <c r="BA196" s="80"/>
      <c r="BB196" s="80"/>
      <c r="BC196">
        <v>3</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34</v>
      </c>
      <c r="BM196" s="50">
        <v>100</v>
      </c>
      <c r="BN196" s="49">
        <v>34</v>
      </c>
    </row>
    <row r="197" spans="1:66" ht="15">
      <c r="A197" s="65" t="s">
        <v>321</v>
      </c>
      <c r="B197" s="65" t="s">
        <v>377</v>
      </c>
      <c r="C197" s="66" t="s">
        <v>2818</v>
      </c>
      <c r="D197" s="67">
        <v>10</v>
      </c>
      <c r="E197" s="66" t="s">
        <v>136</v>
      </c>
      <c r="F197" s="69">
        <v>25.5</v>
      </c>
      <c r="G197" s="66"/>
      <c r="H197" s="70"/>
      <c r="I197" s="71"/>
      <c r="J197" s="71"/>
      <c r="K197" s="35" t="s">
        <v>65</v>
      </c>
      <c r="L197" s="72">
        <v>197</v>
      </c>
      <c r="M197" s="72"/>
      <c r="N197" s="73"/>
      <c r="O197" s="80" t="s">
        <v>407</v>
      </c>
      <c r="P197" s="82">
        <v>44480.167395833334</v>
      </c>
      <c r="Q197" s="80" t="s">
        <v>468</v>
      </c>
      <c r="R197" s="85" t="str">
        <f>HYPERLINK("https://econ.trib.al/w1YeE88")</f>
        <v>https://econ.trib.al/w1YeE88</v>
      </c>
      <c r="S197" s="80" t="s">
        <v>528</v>
      </c>
      <c r="T197" s="80"/>
      <c r="U197" s="80"/>
      <c r="V197" s="85" t="str">
        <f>HYPERLINK("https://abs.twimg.com/sticky/default_profile_images/default_profile_normal.png")</f>
        <v>https://abs.twimg.com/sticky/default_profile_images/default_profile_normal.png</v>
      </c>
      <c r="W197" s="82">
        <v>44480.167395833334</v>
      </c>
      <c r="X197" s="87">
        <v>44480</v>
      </c>
      <c r="Y197" s="83" t="s">
        <v>668</v>
      </c>
      <c r="Z197" s="85" t="str">
        <f>HYPERLINK("https://twitter.com/deduped_economi/status/1447411899197317127")</f>
        <v>https://twitter.com/deduped_economi/status/1447411899197317127</v>
      </c>
      <c r="AA197" s="80"/>
      <c r="AB197" s="80"/>
      <c r="AC197" s="83" t="s">
        <v>851</v>
      </c>
      <c r="AD197" s="80"/>
      <c r="AE197" s="80" t="b">
        <v>0</v>
      </c>
      <c r="AF197" s="80">
        <v>0</v>
      </c>
      <c r="AG197" s="83" t="s">
        <v>952</v>
      </c>
      <c r="AH197" s="80" t="b">
        <v>0</v>
      </c>
      <c r="AI197" s="80" t="s">
        <v>967</v>
      </c>
      <c r="AJ197" s="80"/>
      <c r="AK197" s="83" t="s">
        <v>952</v>
      </c>
      <c r="AL197" s="80" t="b">
        <v>0</v>
      </c>
      <c r="AM197" s="80">
        <v>10</v>
      </c>
      <c r="AN197" s="83" t="s">
        <v>896</v>
      </c>
      <c r="AO197" s="83" t="s">
        <v>989</v>
      </c>
      <c r="AP197" s="80" t="b">
        <v>0</v>
      </c>
      <c r="AQ197" s="83" t="s">
        <v>896</v>
      </c>
      <c r="AR197" s="80" t="s">
        <v>196</v>
      </c>
      <c r="AS197" s="80">
        <v>0</v>
      </c>
      <c r="AT197" s="80">
        <v>0</v>
      </c>
      <c r="AU197" s="80"/>
      <c r="AV197" s="80"/>
      <c r="AW197" s="80"/>
      <c r="AX197" s="80"/>
      <c r="AY197" s="80"/>
      <c r="AZ197" s="80"/>
      <c r="BA197" s="80"/>
      <c r="BB197" s="80"/>
      <c r="BC197">
        <v>3</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321</v>
      </c>
      <c r="B198" s="65" t="s">
        <v>331</v>
      </c>
      <c r="C198" s="66" t="s">
        <v>2818</v>
      </c>
      <c r="D198" s="67">
        <v>10</v>
      </c>
      <c r="E198" s="66" t="s">
        <v>136</v>
      </c>
      <c r="F198" s="69">
        <v>25.5</v>
      </c>
      <c r="G198" s="66"/>
      <c r="H198" s="70"/>
      <c r="I198" s="71"/>
      <c r="J198" s="71"/>
      <c r="K198" s="35" t="s">
        <v>65</v>
      </c>
      <c r="L198" s="72">
        <v>198</v>
      </c>
      <c r="M198" s="72"/>
      <c r="N198" s="73"/>
      <c r="O198" s="80" t="s">
        <v>407</v>
      </c>
      <c r="P198" s="82">
        <v>44480.167395833334</v>
      </c>
      <c r="Q198" s="80" t="s">
        <v>468</v>
      </c>
      <c r="R198" s="85" t="str">
        <f>HYPERLINK("https://econ.trib.al/w1YeE88")</f>
        <v>https://econ.trib.al/w1YeE88</v>
      </c>
      <c r="S198" s="80" t="s">
        <v>528</v>
      </c>
      <c r="T198" s="80"/>
      <c r="U198" s="80"/>
      <c r="V198" s="85" t="str">
        <f>HYPERLINK("https://abs.twimg.com/sticky/default_profile_images/default_profile_normal.png")</f>
        <v>https://abs.twimg.com/sticky/default_profile_images/default_profile_normal.png</v>
      </c>
      <c r="W198" s="82">
        <v>44480.167395833334</v>
      </c>
      <c r="X198" s="87">
        <v>44480</v>
      </c>
      <c r="Y198" s="83" t="s">
        <v>668</v>
      </c>
      <c r="Z198" s="85" t="str">
        <f>HYPERLINK("https://twitter.com/deduped_economi/status/1447411899197317127")</f>
        <v>https://twitter.com/deduped_economi/status/1447411899197317127</v>
      </c>
      <c r="AA198" s="80"/>
      <c r="AB198" s="80"/>
      <c r="AC198" s="83" t="s">
        <v>851</v>
      </c>
      <c r="AD198" s="80"/>
      <c r="AE198" s="80" t="b">
        <v>0</v>
      </c>
      <c r="AF198" s="80">
        <v>0</v>
      </c>
      <c r="AG198" s="83" t="s">
        <v>952</v>
      </c>
      <c r="AH198" s="80" t="b">
        <v>0</v>
      </c>
      <c r="AI198" s="80" t="s">
        <v>967</v>
      </c>
      <c r="AJ198" s="80"/>
      <c r="AK198" s="83" t="s">
        <v>952</v>
      </c>
      <c r="AL198" s="80" t="b">
        <v>0</v>
      </c>
      <c r="AM198" s="80">
        <v>10</v>
      </c>
      <c r="AN198" s="83" t="s">
        <v>896</v>
      </c>
      <c r="AO198" s="83" t="s">
        <v>989</v>
      </c>
      <c r="AP198" s="80" t="b">
        <v>0</v>
      </c>
      <c r="AQ198" s="83" t="s">
        <v>896</v>
      </c>
      <c r="AR198" s="80" t="s">
        <v>196</v>
      </c>
      <c r="AS198" s="80">
        <v>0</v>
      </c>
      <c r="AT198" s="80">
        <v>0</v>
      </c>
      <c r="AU198" s="80"/>
      <c r="AV198" s="80"/>
      <c r="AW198" s="80"/>
      <c r="AX198" s="80"/>
      <c r="AY198" s="80"/>
      <c r="AZ198" s="80"/>
      <c r="BA198" s="80"/>
      <c r="BB198" s="80"/>
      <c r="BC198">
        <v>3</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321</v>
      </c>
      <c r="B199" s="65" t="s">
        <v>378</v>
      </c>
      <c r="C199" s="66" t="s">
        <v>2818</v>
      </c>
      <c r="D199" s="67">
        <v>10</v>
      </c>
      <c r="E199" s="66" t="s">
        <v>136</v>
      </c>
      <c r="F199" s="69">
        <v>25.5</v>
      </c>
      <c r="G199" s="66"/>
      <c r="H199" s="70"/>
      <c r="I199" s="71"/>
      <c r="J199" s="71"/>
      <c r="K199" s="35" t="s">
        <v>65</v>
      </c>
      <c r="L199" s="72">
        <v>199</v>
      </c>
      <c r="M199" s="72"/>
      <c r="N199" s="73"/>
      <c r="O199" s="80" t="s">
        <v>407</v>
      </c>
      <c r="P199" s="82">
        <v>44480.167395833334</v>
      </c>
      <c r="Q199" s="80" t="s">
        <v>468</v>
      </c>
      <c r="R199" s="85" t="str">
        <f>HYPERLINK("https://econ.trib.al/w1YeE88")</f>
        <v>https://econ.trib.al/w1YeE88</v>
      </c>
      <c r="S199" s="80" t="s">
        <v>528</v>
      </c>
      <c r="T199" s="80"/>
      <c r="U199" s="80"/>
      <c r="V199" s="85" t="str">
        <f>HYPERLINK("https://abs.twimg.com/sticky/default_profile_images/default_profile_normal.png")</f>
        <v>https://abs.twimg.com/sticky/default_profile_images/default_profile_normal.png</v>
      </c>
      <c r="W199" s="82">
        <v>44480.167395833334</v>
      </c>
      <c r="X199" s="87">
        <v>44480</v>
      </c>
      <c r="Y199" s="83" t="s">
        <v>668</v>
      </c>
      <c r="Z199" s="85" t="str">
        <f>HYPERLINK("https://twitter.com/deduped_economi/status/1447411899197317127")</f>
        <v>https://twitter.com/deduped_economi/status/1447411899197317127</v>
      </c>
      <c r="AA199" s="80"/>
      <c r="AB199" s="80"/>
      <c r="AC199" s="83" t="s">
        <v>851</v>
      </c>
      <c r="AD199" s="80"/>
      <c r="AE199" s="80" t="b">
        <v>0</v>
      </c>
      <c r="AF199" s="80">
        <v>0</v>
      </c>
      <c r="AG199" s="83" t="s">
        <v>952</v>
      </c>
      <c r="AH199" s="80" t="b">
        <v>0</v>
      </c>
      <c r="AI199" s="80" t="s">
        <v>967</v>
      </c>
      <c r="AJ199" s="80"/>
      <c r="AK199" s="83" t="s">
        <v>952</v>
      </c>
      <c r="AL199" s="80" t="b">
        <v>0</v>
      </c>
      <c r="AM199" s="80">
        <v>10</v>
      </c>
      <c r="AN199" s="83" t="s">
        <v>896</v>
      </c>
      <c r="AO199" s="83" t="s">
        <v>989</v>
      </c>
      <c r="AP199" s="80" t="b">
        <v>0</v>
      </c>
      <c r="AQ199" s="83" t="s">
        <v>896</v>
      </c>
      <c r="AR199" s="80" t="s">
        <v>196</v>
      </c>
      <c r="AS199" s="80">
        <v>0</v>
      </c>
      <c r="AT199" s="80">
        <v>0</v>
      </c>
      <c r="AU199" s="80"/>
      <c r="AV199" s="80"/>
      <c r="AW199" s="80"/>
      <c r="AX199" s="80"/>
      <c r="AY199" s="80"/>
      <c r="AZ199" s="80"/>
      <c r="BA199" s="80"/>
      <c r="BB199" s="80"/>
      <c r="BC199">
        <v>3</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321</v>
      </c>
      <c r="B200" s="65" t="s">
        <v>342</v>
      </c>
      <c r="C200" s="66" t="s">
        <v>2818</v>
      </c>
      <c r="D200" s="67">
        <v>10</v>
      </c>
      <c r="E200" s="66" t="s">
        <v>136</v>
      </c>
      <c r="F200" s="69">
        <v>25.5</v>
      </c>
      <c r="G200" s="66"/>
      <c r="H200" s="70"/>
      <c r="I200" s="71"/>
      <c r="J200" s="71"/>
      <c r="K200" s="35" t="s">
        <v>65</v>
      </c>
      <c r="L200" s="72">
        <v>200</v>
      </c>
      <c r="M200" s="72"/>
      <c r="N200" s="73"/>
      <c r="O200" s="80" t="s">
        <v>408</v>
      </c>
      <c r="P200" s="82">
        <v>44480.167395833334</v>
      </c>
      <c r="Q200" s="80" t="s">
        <v>468</v>
      </c>
      <c r="R200" s="85" t="str">
        <f>HYPERLINK("https://econ.trib.al/w1YeE88")</f>
        <v>https://econ.trib.al/w1YeE88</v>
      </c>
      <c r="S200" s="80" t="s">
        <v>528</v>
      </c>
      <c r="T200" s="80"/>
      <c r="U200" s="80"/>
      <c r="V200" s="85" t="str">
        <f>HYPERLINK("https://abs.twimg.com/sticky/default_profile_images/default_profile_normal.png")</f>
        <v>https://abs.twimg.com/sticky/default_profile_images/default_profile_normal.png</v>
      </c>
      <c r="W200" s="82">
        <v>44480.167395833334</v>
      </c>
      <c r="X200" s="87">
        <v>44480</v>
      </c>
      <c r="Y200" s="83" t="s">
        <v>668</v>
      </c>
      <c r="Z200" s="85" t="str">
        <f>HYPERLINK("https://twitter.com/deduped_economi/status/1447411899197317127")</f>
        <v>https://twitter.com/deduped_economi/status/1447411899197317127</v>
      </c>
      <c r="AA200" s="80"/>
      <c r="AB200" s="80"/>
      <c r="AC200" s="83" t="s">
        <v>851</v>
      </c>
      <c r="AD200" s="80"/>
      <c r="AE200" s="80" t="b">
        <v>0</v>
      </c>
      <c r="AF200" s="80">
        <v>0</v>
      </c>
      <c r="AG200" s="83" t="s">
        <v>952</v>
      </c>
      <c r="AH200" s="80" t="b">
        <v>0</v>
      </c>
      <c r="AI200" s="80" t="s">
        <v>967</v>
      </c>
      <c r="AJ200" s="80"/>
      <c r="AK200" s="83" t="s">
        <v>952</v>
      </c>
      <c r="AL200" s="80" t="b">
        <v>0</v>
      </c>
      <c r="AM200" s="80">
        <v>10</v>
      </c>
      <c r="AN200" s="83" t="s">
        <v>896</v>
      </c>
      <c r="AO200" s="83" t="s">
        <v>989</v>
      </c>
      <c r="AP200" s="80" t="b">
        <v>0</v>
      </c>
      <c r="AQ200" s="83" t="s">
        <v>896</v>
      </c>
      <c r="AR200" s="80" t="s">
        <v>196</v>
      </c>
      <c r="AS200" s="80">
        <v>0</v>
      </c>
      <c r="AT200" s="80">
        <v>0</v>
      </c>
      <c r="AU200" s="80"/>
      <c r="AV200" s="80"/>
      <c r="AW200" s="80"/>
      <c r="AX200" s="80"/>
      <c r="AY200" s="80"/>
      <c r="AZ200" s="80"/>
      <c r="BA200" s="80"/>
      <c r="BB200" s="80"/>
      <c r="BC200">
        <v>3</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34</v>
      </c>
      <c r="BM200" s="50">
        <v>100</v>
      </c>
      <c r="BN200" s="49">
        <v>34</v>
      </c>
    </row>
    <row r="201" spans="1:66" ht="15">
      <c r="A201" s="65" t="s">
        <v>322</v>
      </c>
      <c r="B201" s="65" t="s">
        <v>377</v>
      </c>
      <c r="C201" s="66" t="s">
        <v>2815</v>
      </c>
      <c r="D201" s="67">
        <v>3</v>
      </c>
      <c r="E201" s="66" t="s">
        <v>132</v>
      </c>
      <c r="F201" s="69">
        <v>32</v>
      </c>
      <c r="G201" s="66"/>
      <c r="H201" s="70"/>
      <c r="I201" s="71"/>
      <c r="J201" s="71"/>
      <c r="K201" s="35" t="s">
        <v>65</v>
      </c>
      <c r="L201" s="72">
        <v>201</v>
      </c>
      <c r="M201" s="72"/>
      <c r="N201" s="73"/>
      <c r="O201" s="80" t="s">
        <v>407</v>
      </c>
      <c r="P201" s="82">
        <v>44480.16773148148</v>
      </c>
      <c r="Q201" s="80" t="s">
        <v>468</v>
      </c>
      <c r="R201" s="85" t="str">
        <f>HYPERLINK("https://econ.trib.al/w1YeE88")</f>
        <v>https://econ.trib.al/w1YeE88</v>
      </c>
      <c r="S201" s="80" t="s">
        <v>528</v>
      </c>
      <c r="T201" s="80"/>
      <c r="U201" s="80"/>
      <c r="V201" s="85" t="str">
        <f>HYPERLINK("https://abs.twimg.com/sticky/default_profile_images/default_profile_normal.png")</f>
        <v>https://abs.twimg.com/sticky/default_profile_images/default_profile_normal.png</v>
      </c>
      <c r="W201" s="82">
        <v>44480.16773148148</v>
      </c>
      <c r="X201" s="87">
        <v>44480</v>
      </c>
      <c r="Y201" s="83" t="s">
        <v>669</v>
      </c>
      <c r="Z201" s="85" t="str">
        <f>HYPERLINK("https://twitter.com/jamescounihan1/status/1447412023655124997")</f>
        <v>https://twitter.com/jamescounihan1/status/1447412023655124997</v>
      </c>
      <c r="AA201" s="80"/>
      <c r="AB201" s="80"/>
      <c r="AC201" s="83" t="s">
        <v>852</v>
      </c>
      <c r="AD201" s="80"/>
      <c r="AE201" s="80" t="b">
        <v>0</v>
      </c>
      <c r="AF201" s="80">
        <v>0</v>
      </c>
      <c r="AG201" s="83" t="s">
        <v>952</v>
      </c>
      <c r="AH201" s="80" t="b">
        <v>0</v>
      </c>
      <c r="AI201" s="80" t="s">
        <v>967</v>
      </c>
      <c r="AJ201" s="80"/>
      <c r="AK201" s="83" t="s">
        <v>952</v>
      </c>
      <c r="AL201" s="80" t="b">
        <v>0</v>
      </c>
      <c r="AM201" s="80">
        <v>10</v>
      </c>
      <c r="AN201" s="83" t="s">
        <v>896</v>
      </c>
      <c r="AO201" s="83" t="s">
        <v>979</v>
      </c>
      <c r="AP201" s="80" t="b">
        <v>0</v>
      </c>
      <c r="AQ201" s="83" t="s">
        <v>896</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322</v>
      </c>
      <c r="B202" s="65" t="s">
        <v>331</v>
      </c>
      <c r="C202" s="66" t="s">
        <v>2815</v>
      </c>
      <c r="D202" s="67">
        <v>3</v>
      </c>
      <c r="E202" s="66" t="s">
        <v>132</v>
      </c>
      <c r="F202" s="69">
        <v>32</v>
      </c>
      <c r="G202" s="66"/>
      <c r="H202" s="70"/>
      <c r="I202" s="71"/>
      <c r="J202" s="71"/>
      <c r="K202" s="35" t="s">
        <v>65</v>
      </c>
      <c r="L202" s="72">
        <v>202</v>
      </c>
      <c r="M202" s="72"/>
      <c r="N202" s="73"/>
      <c r="O202" s="80" t="s">
        <v>407</v>
      </c>
      <c r="P202" s="82">
        <v>44480.16773148148</v>
      </c>
      <c r="Q202" s="80" t="s">
        <v>468</v>
      </c>
      <c r="R202" s="85" t="str">
        <f>HYPERLINK("https://econ.trib.al/w1YeE88")</f>
        <v>https://econ.trib.al/w1YeE88</v>
      </c>
      <c r="S202" s="80" t="s">
        <v>528</v>
      </c>
      <c r="T202" s="80"/>
      <c r="U202" s="80"/>
      <c r="V202" s="85" t="str">
        <f>HYPERLINK("https://abs.twimg.com/sticky/default_profile_images/default_profile_normal.png")</f>
        <v>https://abs.twimg.com/sticky/default_profile_images/default_profile_normal.png</v>
      </c>
      <c r="W202" s="82">
        <v>44480.16773148148</v>
      </c>
      <c r="X202" s="87">
        <v>44480</v>
      </c>
      <c r="Y202" s="83" t="s">
        <v>669</v>
      </c>
      <c r="Z202" s="85" t="str">
        <f>HYPERLINK("https://twitter.com/jamescounihan1/status/1447412023655124997")</f>
        <v>https://twitter.com/jamescounihan1/status/1447412023655124997</v>
      </c>
      <c r="AA202" s="80"/>
      <c r="AB202" s="80"/>
      <c r="AC202" s="83" t="s">
        <v>852</v>
      </c>
      <c r="AD202" s="80"/>
      <c r="AE202" s="80" t="b">
        <v>0</v>
      </c>
      <c r="AF202" s="80">
        <v>0</v>
      </c>
      <c r="AG202" s="83" t="s">
        <v>952</v>
      </c>
      <c r="AH202" s="80" t="b">
        <v>0</v>
      </c>
      <c r="AI202" s="80" t="s">
        <v>967</v>
      </c>
      <c r="AJ202" s="80"/>
      <c r="AK202" s="83" t="s">
        <v>952</v>
      </c>
      <c r="AL202" s="80" t="b">
        <v>0</v>
      </c>
      <c r="AM202" s="80">
        <v>10</v>
      </c>
      <c r="AN202" s="83" t="s">
        <v>896</v>
      </c>
      <c r="AO202" s="83" t="s">
        <v>979</v>
      </c>
      <c r="AP202" s="80" t="b">
        <v>0</v>
      </c>
      <c r="AQ202" s="83" t="s">
        <v>896</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322</v>
      </c>
      <c r="B203" s="65" t="s">
        <v>378</v>
      </c>
      <c r="C203" s="66" t="s">
        <v>2815</v>
      </c>
      <c r="D203" s="67">
        <v>3</v>
      </c>
      <c r="E203" s="66" t="s">
        <v>132</v>
      </c>
      <c r="F203" s="69">
        <v>32</v>
      </c>
      <c r="G203" s="66"/>
      <c r="H203" s="70"/>
      <c r="I203" s="71"/>
      <c r="J203" s="71"/>
      <c r="K203" s="35" t="s">
        <v>65</v>
      </c>
      <c r="L203" s="72">
        <v>203</v>
      </c>
      <c r="M203" s="72"/>
      <c r="N203" s="73"/>
      <c r="O203" s="80" t="s">
        <v>407</v>
      </c>
      <c r="P203" s="82">
        <v>44480.16773148148</v>
      </c>
      <c r="Q203" s="80" t="s">
        <v>468</v>
      </c>
      <c r="R203" s="85" t="str">
        <f>HYPERLINK("https://econ.trib.al/w1YeE88")</f>
        <v>https://econ.trib.al/w1YeE88</v>
      </c>
      <c r="S203" s="80" t="s">
        <v>528</v>
      </c>
      <c r="T203" s="80"/>
      <c r="U203" s="80"/>
      <c r="V203" s="85" t="str">
        <f>HYPERLINK("https://abs.twimg.com/sticky/default_profile_images/default_profile_normal.png")</f>
        <v>https://abs.twimg.com/sticky/default_profile_images/default_profile_normal.png</v>
      </c>
      <c r="W203" s="82">
        <v>44480.16773148148</v>
      </c>
      <c r="X203" s="87">
        <v>44480</v>
      </c>
      <c r="Y203" s="83" t="s">
        <v>669</v>
      </c>
      <c r="Z203" s="85" t="str">
        <f>HYPERLINK("https://twitter.com/jamescounihan1/status/1447412023655124997")</f>
        <v>https://twitter.com/jamescounihan1/status/1447412023655124997</v>
      </c>
      <c r="AA203" s="80"/>
      <c r="AB203" s="80"/>
      <c r="AC203" s="83" t="s">
        <v>852</v>
      </c>
      <c r="AD203" s="80"/>
      <c r="AE203" s="80" t="b">
        <v>0</v>
      </c>
      <c r="AF203" s="80">
        <v>0</v>
      </c>
      <c r="AG203" s="83" t="s">
        <v>952</v>
      </c>
      <c r="AH203" s="80" t="b">
        <v>0</v>
      </c>
      <c r="AI203" s="80" t="s">
        <v>967</v>
      </c>
      <c r="AJ203" s="80"/>
      <c r="AK203" s="83" t="s">
        <v>952</v>
      </c>
      <c r="AL203" s="80" t="b">
        <v>0</v>
      </c>
      <c r="AM203" s="80">
        <v>10</v>
      </c>
      <c r="AN203" s="83" t="s">
        <v>896</v>
      </c>
      <c r="AO203" s="83" t="s">
        <v>979</v>
      </c>
      <c r="AP203" s="80" t="b">
        <v>0</v>
      </c>
      <c r="AQ203" s="83" t="s">
        <v>896</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322</v>
      </c>
      <c r="B204" s="65" t="s">
        <v>342</v>
      </c>
      <c r="C204" s="66" t="s">
        <v>2815</v>
      </c>
      <c r="D204" s="67">
        <v>3</v>
      </c>
      <c r="E204" s="66" t="s">
        <v>132</v>
      </c>
      <c r="F204" s="69">
        <v>32</v>
      </c>
      <c r="G204" s="66"/>
      <c r="H204" s="70"/>
      <c r="I204" s="71"/>
      <c r="J204" s="71"/>
      <c r="K204" s="35" t="s">
        <v>65</v>
      </c>
      <c r="L204" s="72">
        <v>204</v>
      </c>
      <c r="M204" s="72"/>
      <c r="N204" s="73"/>
      <c r="O204" s="80" t="s">
        <v>408</v>
      </c>
      <c r="P204" s="82">
        <v>44480.16773148148</v>
      </c>
      <c r="Q204" s="80" t="s">
        <v>468</v>
      </c>
      <c r="R204" s="85" t="str">
        <f>HYPERLINK("https://econ.trib.al/w1YeE88")</f>
        <v>https://econ.trib.al/w1YeE88</v>
      </c>
      <c r="S204" s="80" t="s">
        <v>528</v>
      </c>
      <c r="T204" s="80"/>
      <c r="U204" s="80"/>
      <c r="V204" s="85" t="str">
        <f>HYPERLINK("https://abs.twimg.com/sticky/default_profile_images/default_profile_normal.png")</f>
        <v>https://abs.twimg.com/sticky/default_profile_images/default_profile_normal.png</v>
      </c>
      <c r="W204" s="82">
        <v>44480.16773148148</v>
      </c>
      <c r="X204" s="87">
        <v>44480</v>
      </c>
      <c r="Y204" s="83" t="s">
        <v>669</v>
      </c>
      <c r="Z204" s="85" t="str">
        <f>HYPERLINK("https://twitter.com/jamescounihan1/status/1447412023655124997")</f>
        <v>https://twitter.com/jamescounihan1/status/1447412023655124997</v>
      </c>
      <c r="AA204" s="80"/>
      <c r="AB204" s="80"/>
      <c r="AC204" s="83" t="s">
        <v>852</v>
      </c>
      <c r="AD204" s="80"/>
      <c r="AE204" s="80" t="b">
        <v>0</v>
      </c>
      <c r="AF204" s="80">
        <v>0</v>
      </c>
      <c r="AG204" s="83" t="s">
        <v>952</v>
      </c>
      <c r="AH204" s="80" t="b">
        <v>0</v>
      </c>
      <c r="AI204" s="80" t="s">
        <v>967</v>
      </c>
      <c r="AJ204" s="80"/>
      <c r="AK204" s="83" t="s">
        <v>952</v>
      </c>
      <c r="AL204" s="80" t="b">
        <v>0</v>
      </c>
      <c r="AM204" s="80">
        <v>10</v>
      </c>
      <c r="AN204" s="83" t="s">
        <v>896</v>
      </c>
      <c r="AO204" s="83" t="s">
        <v>979</v>
      </c>
      <c r="AP204" s="80" t="b">
        <v>0</v>
      </c>
      <c r="AQ204" s="83" t="s">
        <v>896</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1</v>
      </c>
      <c r="BE204" s="79" t="str">
        <f>REPLACE(INDEX(GroupVertices[Group],MATCH(Edges[[#This Row],[Vertex 2]],GroupVertices[Vertex],0)),1,1,"")</f>
        <v>1</v>
      </c>
      <c r="BF204" s="49">
        <v>0</v>
      </c>
      <c r="BG204" s="50">
        <v>0</v>
      </c>
      <c r="BH204" s="49">
        <v>0</v>
      </c>
      <c r="BI204" s="50">
        <v>0</v>
      </c>
      <c r="BJ204" s="49">
        <v>0</v>
      </c>
      <c r="BK204" s="50">
        <v>0</v>
      </c>
      <c r="BL204" s="49">
        <v>34</v>
      </c>
      <c r="BM204" s="50">
        <v>100</v>
      </c>
      <c r="BN204" s="49">
        <v>34</v>
      </c>
    </row>
    <row r="205" spans="1:66" ht="15">
      <c r="A205" s="65" t="s">
        <v>323</v>
      </c>
      <c r="B205" s="65" t="s">
        <v>377</v>
      </c>
      <c r="C205" s="66" t="s">
        <v>2815</v>
      </c>
      <c r="D205" s="67">
        <v>3</v>
      </c>
      <c r="E205" s="66" t="s">
        <v>132</v>
      </c>
      <c r="F205" s="69">
        <v>32</v>
      </c>
      <c r="G205" s="66"/>
      <c r="H205" s="70"/>
      <c r="I205" s="71"/>
      <c r="J205" s="71"/>
      <c r="K205" s="35" t="s">
        <v>65</v>
      </c>
      <c r="L205" s="72">
        <v>205</v>
      </c>
      <c r="M205" s="72"/>
      <c r="N205" s="73"/>
      <c r="O205" s="80" t="s">
        <v>407</v>
      </c>
      <c r="P205" s="82">
        <v>44480.168657407405</v>
      </c>
      <c r="Q205" s="80" t="s">
        <v>468</v>
      </c>
      <c r="R205" s="85" t="str">
        <f>HYPERLINK("https://econ.trib.al/w1YeE88")</f>
        <v>https://econ.trib.al/w1YeE88</v>
      </c>
      <c r="S205" s="80" t="s">
        <v>528</v>
      </c>
      <c r="T205" s="80"/>
      <c r="U205" s="80"/>
      <c r="V205" s="85" t="str">
        <f>HYPERLINK("https://pbs.twimg.com/profile_images/1298964287449251840/K2O2_Mya_normal.jpg")</f>
        <v>https://pbs.twimg.com/profile_images/1298964287449251840/K2O2_Mya_normal.jpg</v>
      </c>
      <c r="W205" s="82">
        <v>44480.168657407405</v>
      </c>
      <c r="X205" s="87">
        <v>44480</v>
      </c>
      <c r="Y205" s="83" t="s">
        <v>670</v>
      </c>
      <c r="Z205" s="85" t="str">
        <f>HYPERLINK("https://twitter.com/soap0928913/status/1447412356724576261")</f>
        <v>https://twitter.com/soap0928913/status/1447412356724576261</v>
      </c>
      <c r="AA205" s="80"/>
      <c r="AB205" s="80"/>
      <c r="AC205" s="83" t="s">
        <v>853</v>
      </c>
      <c r="AD205" s="80"/>
      <c r="AE205" s="80" t="b">
        <v>0</v>
      </c>
      <c r="AF205" s="80">
        <v>0</v>
      </c>
      <c r="AG205" s="83" t="s">
        <v>952</v>
      </c>
      <c r="AH205" s="80" t="b">
        <v>0</v>
      </c>
      <c r="AI205" s="80" t="s">
        <v>967</v>
      </c>
      <c r="AJ205" s="80"/>
      <c r="AK205" s="83" t="s">
        <v>952</v>
      </c>
      <c r="AL205" s="80" t="b">
        <v>0</v>
      </c>
      <c r="AM205" s="80">
        <v>10</v>
      </c>
      <c r="AN205" s="83" t="s">
        <v>896</v>
      </c>
      <c r="AO205" s="83" t="s">
        <v>972</v>
      </c>
      <c r="AP205" s="80" t="b">
        <v>0</v>
      </c>
      <c r="AQ205" s="83" t="s">
        <v>896</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323</v>
      </c>
      <c r="B206" s="65" t="s">
        <v>331</v>
      </c>
      <c r="C206" s="66" t="s">
        <v>2815</v>
      </c>
      <c r="D206" s="67">
        <v>3</v>
      </c>
      <c r="E206" s="66" t="s">
        <v>132</v>
      </c>
      <c r="F206" s="69">
        <v>32</v>
      </c>
      <c r="G206" s="66"/>
      <c r="H206" s="70"/>
      <c r="I206" s="71"/>
      <c r="J206" s="71"/>
      <c r="K206" s="35" t="s">
        <v>65</v>
      </c>
      <c r="L206" s="72">
        <v>206</v>
      </c>
      <c r="M206" s="72"/>
      <c r="N206" s="73"/>
      <c r="O206" s="80" t="s">
        <v>407</v>
      </c>
      <c r="P206" s="82">
        <v>44480.168657407405</v>
      </c>
      <c r="Q206" s="80" t="s">
        <v>468</v>
      </c>
      <c r="R206" s="85" t="str">
        <f>HYPERLINK("https://econ.trib.al/w1YeE88")</f>
        <v>https://econ.trib.al/w1YeE88</v>
      </c>
      <c r="S206" s="80" t="s">
        <v>528</v>
      </c>
      <c r="T206" s="80"/>
      <c r="U206" s="80"/>
      <c r="V206" s="85" t="str">
        <f>HYPERLINK("https://pbs.twimg.com/profile_images/1298964287449251840/K2O2_Mya_normal.jpg")</f>
        <v>https://pbs.twimg.com/profile_images/1298964287449251840/K2O2_Mya_normal.jpg</v>
      </c>
      <c r="W206" s="82">
        <v>44480.168657407405</v>
      </c>
      <c r="X206" s="87">
        <v>44480</v>
      </c>
      <c r="Y206" s="83" t="s">
        <v>670</v>
      </c>
      <c r="Z206" s="85" t="str">
        <f>HYPERLINK("https://twitter.com/soap0928913/status/1447412356724576261")</f>
        <v>https://twitter.com/soap0928913/status/1447412356724576261</v>
      </c>
      <c r="AA206" s="80"/>
      <c r="AB206" s="80"/>
      <c r="AC206" s="83" t="s">
        <v>853</v>
      </c>
      <c r="AD206" s="80"/>
      <c r="AE206" s="80" t="b">
        <v>0</v>
      </c>
      <c r="AF206" s="80">
        <v>0</v>
      </c>
      <c r="AG206" s="83" t="s">
        <v>952</v>
      </c>
      <c r="AH206" s="80" t="b">
        <v>0</v>
      </c>
      <c r="AI206" s="80" t="s">
        <v>967</v>
      </c>
      <c r="AJ206" s="80"/>
      <c r="AK206" s="83" t="s">
        <v>952</v>
      </c>
      <c r="AL206" s="80" t="b">
        <v>0</v>
      </c>
      <c r="AM206" s="80">
        <v>10</v>
      </c>
      <c r="AN206" s="83" t="s">
        <v>896</v>
      </c>
      <c r="AO206" s="83" t="s">
        <v>972</v>
      </c>
      <c r="AP206" s="80" t="b">
        <v>0</v>
      </c>
      <c r="AQ206" s="83" t="s">
        <v>896</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323</v>
      </c>
      <c r="B207" s="65" t="s">
        <v>378</v>
      </c>
      <c r="C207" s="66" t="s">
        <v>2815</v>
      </c>
      <c r="D207" s="67">
        <v>3</v>
      </c>
      <c r="E207" s="66" t="s">
        <v>132</v>
      </c>
      <c r="F207" s="69">
        <v>32</v>
      </c>
      <c r="G207" s="66"/>
      <c r="H207" s="70"/>
      <c r="I207" s="71"/>
      <c r="J207" s="71"/>
      <c r="K207" s="35" t="s">
        <v>65</v>
      </c>
      <c r="L207" s="72">
        <v>207</v>
      </c>
      <c r="M207" s="72"/>
      <c r="N207" s="73"/>
      <c r="O207" s="80" t="s">
        <v>407</v>
      </c>
      <c r="P207" s="82">
        <v>44480.168657407405</v>
      </c>
      <c r="Q207" s="80" t="s">
        <v>468</v>
      </c>
      <c r="R207" s="85" t="str">
        <f>HYPERLINK("https://econ.trib.al/w1YeE88")</f>
        <v>https://econ.trib.al/w1YeE88</v>
      </c>
      <c r="S207" s="80" t="s">
        <v>528</v>
      </c>
      <c r="T207" s="80"/>
      <c r="U207" s="80"/>
      <c r="V207" s="85" t="str">
        <f>HYPERLINK("https://pbs.twimg.com/profile_images/1298964287449251840/K2O2_Mya_normal.jpg")</f>
        <v>https://pbs.twimg.com/profile_images/1298964287449251840/K2O2_Mya_normal.jpg</v>
      </c>
      <c r="W207" s="82">
        <v>44480.168657407405</v>
      </c>
      <c r="X207" s="87">
        <v>44480</v>
      </c>
      <c r="Y207" s="83" t="s">
        <v>670</v>
      </c>
      <c r="Z207" s="85" t="str">
        <f>HYPERLINK("https://twitter.com/soap0928913/status/1447412356724576261")</f>
        <v>https://twitter.com/soap0928913/status/1447412356724576261</v>
      </c>
      <c r="AA207" s="80"/>
      <c r="AB207" s="80"/>
      <c r="AC207" s="83" t="s">
        <v>853</v>
      </c>
      <c r="AD207" s="80"/>
      <c r="AE207" s="80" t="b">
        <v>0</v>
      </c>
      <c r="AF207" s="80">
        <v>0</v>
      </c>
      <c r="AG207" s="83" t="s">
        <v>952</v>
      </c>
      <c r="AH207" s="80" t="b">
        <v>0</v>
      </c>
      <c r="AI207" s="80" t="s">
        <v>967</v>
      </c>
      <c r="AJ207" s="80"/>
      <c r="AK207" s="83" t="s">
        <v>952</v>
      </c>
      <c r="AL207" s="80" t="b">
        <v>0</v>
      </c>
      <c r="AM207" s="80">
        <v>10</v>
      </c>
      <c r="AN207" s="83" t="s">
        <v>896</v>
      </c>
      <c r="AO207" s="83" t="s">
        <v>972</v>
      </c>
      <c r="AP207" s="80" t="b">
        <v>0</v>
      </c>
      <c r="AQ207" s="83" t="s">
        <v>896</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323</v>
      </c>
      <c r="B208" s="65" t="s">
        <v>342</v>
      </c>
      <c r="C208" s="66" t="s">
        <v>2815</v>
      </c>
      <c r="D208" s="67">
        <v>3</v>
      </c>
      <c r="E208" s="66" t="s">
        <v>132</v>
      </c>
      <c r="F208" s="69">
        <v>32</v>
      </c>
      <c r="G208" s="66"/>
      <c r="H208" s="70"/>
      <c r="I208" s="71"/>
      <c r="J208" s="71"/>
      <c r="K208" s="35" t="s">
        <v>65</v>
      </c>
      <c r="L208" s="72">
        <v>208</v>
      </c>
      <c r="M208" s="72"/>
      <c r="N208" s="73"/>
      <c r="O208" s="80" t="s">
        <v>408</v>
      </c>
      <c r="P208" s="82">
        <v>44480.168657407405</v>
      </c>
      <c r="Q208" s="80" t="s">
        <v>468</v>
      </c>
      <c r="R208" s="85" t="str">
        <f>HYPERLINK("https://econ.trib.al/w1YeE88")</f>
        <v>https://econ.trib.al/w1YeE88</v>
      </c>
      <c r="S208" s="80" t="s">
        <v>528</v>
      </c>
      <c r="T208" s="80"/>
      <c r="U208" s="80"/>
      <c r="V208" s="85" t="str">
        <f>HYPERLINK("https://pbs.twimg.com/profile_images/1298964287449251840/K2O2_Mya_normal.jpg")</f>
        <v>https://pbs.twimg.com/profile_images/1298964287449251840/K2O2_Mya_normal.jpg</v>
      </c>
      <c r="W208" s="82">
        <v>44480.168657407405</v>
      </c>
      <c r="X208" s="87">
        <v>44480</v>
      </c>
      <c r="Y208" s="83" t="s">
        <v>670</v>
      </c>
      <c r="Z208" s="85" t="str">
        <f>HYPERLINK("https://twitter.com/soap0928913/status/1447412356724576261")</f>
        <v>https://twitter.com/soap0928913/status/1447412356724576261</v>
      </c>
      <c r="AA208" s="80"/>
      <c r="AB208" s="80"/>
      <c r="AC208" s="83" t="s">
        <v>853</v>
      </c>
      <c r="AD208" s="80"/>
      <c r="AE208" s="80" t="b">
        <v>0</v>
      </c>
      <c r="AF208" s="80">
        <v>0</v>
      </c>
      <c r="AG208" s="83" t="s">
        <v>952</v>
      </c>
      <c r="AH208" s="80" t="b">
        <v>0</v>
      </c>
      <c r="AI208" s="80" t="s">
        <v>967</v>
      </c>
      <c r="AJ208" s="80"/>
      <c r="AK208" s="83" t="s">
        <v>952</v>
      </c>
      <c r="AL208" s="80" t="b">
        <v>0</v>
      </c>
      <c r="AM208" s="80">
        <v>10</v>
      </c>
      <c r="AN208" s="83" t="s">
        <v>896</v>
      </c>
      <c r="AO208" s="83" t="s">
        <v>972</v>
      </c>
      <c r="AP208" s="80" t="b">
        <v>0</v>
      </c>
      <c r="AQ208" s="83" t="s">
        <v>896</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1</v>
      </c>
      <c r="BE208" s="79" t="str">
        <f>REPLACE(INDEX(GroupVertices[Group],MATCH(Edges[[#This Row],[Vertex 2]],GroupVertices[Vertex],0)),1,1,"")</f>
        <v>1</v>
      </c>
      <c r="BF208" s="49">
        <v>0</v>
      </c>
      <c r="BG208" s="50">
        <v>0</v>
      </c>
      <c r="BH208" s="49">
        <v>0</v>
      </c>
      <c r="BI208" s="50">
        <v>0</v>
      </c>
      <c r="BJ208" s="49">
        <v>0</v>
      </c>
      <c r="BK208" s="50">
        <v>0</v>
      </c>
      <c r="BL208" s="49">
        <v>34</v>
      </c>
      <c r="BM208" s="50">
        <v>100</v>
      </c>
      <c r="BN208" s="49">
        <v>34</v>
      </c>
    </row>
    <row r="209" spans="1:66" ht="15">
      <c r="A209" s="65" t="s">
        <v>324</v>
      </c>
      <c r="B209" s="65" t="s">
        <v>377</v>
      </c>
      <c r="C209" s="66" t="s">
        <v>2818</v>
      </c>
      <c r="D209" s="67">
        <v>10</v>
      </c>
      <c r="E209" s="66" t="s">
        <v>136</v>
      </c>
      <c r="F209" s="69">
        <v>25.5</v>
      </c>
      <c r="G209" s="66"/>
      <c r="H209" s="70"/>
      <c r="I209" s="71"/>
      <c r="J209" s="71"/>
      <c r="K209" s="35" t="s">
        <v>65</v>
      </c>
      <c r="L209" s="72">
        <v>209</v>
      </c>
      <c r="M209" s="72"/>
      <c r="N209" s="73"/>
      <c r="O209" s="80" t="s">
        <v>407</v>
      </c>
      <c r="P209" s="82">
        <v>44476.41767361111</v>
      </c>
      <c r="Q209" s="80" t="s">
        <v>432</v>
      </c>
      <c r="R209" s="85" t="str">
        <f>HYPERLINK("https://econ.trib.al/UuLdSAj")</f>
        <v>https://econ.trib.al/UuLdSAj</v>
      </c>
      <c r="S209" s="80" t="s">
        <v>528</v>
      </c>
      <c r="T209" s="80"/>
      <c r="U209" s="80"/>
      <c r="V209" s="85" t="str">
        <f>HYPERLINK("https://pbs.twimg.com/profile_images/1446768416107294721/7O_VaIxM_normal.jpg")</f>
        <v>https://pbs.twimg.com/profile_images/1446768416107294721/7O_VaIxM_normal.jpg</v>
      </c>
      <c r="W209" s="82">
        <v>44476.41767361111</v>
      </c>
      <c r="X209" s="87">
        <v>44476</v>
      </c>
      <c r="Y209" s="83" t="s">
        <v>671</v>
      </c>
      <c r="Z209" s="85" t="str">
        <f>HYPERLINK("https://twitter.com/parvez_offi/status/1446053048606859266")</f>
        <v>https://twitter.com/parvez_offi/status/1446053048606859266</v>
      </c>
      <c r="AA209" s="80"/>
      <c r="AB209" s="80"/>
      <c r="AC209" s="83" t="s">
        <v>854</v>
      </c>
      <c r="AD209" s="80"/>
      <c r="AE209" s="80" t="b">
        <v>0</v>
      </c>
      <c r="AF209" s="80">
        <v>0</v>
      </c>
      <c r="AG209" s="83" t="s">
        <v>952</v>
      </c>
      <c r="AH209" s="80" t="b">
        <v>0</v>
      </c>
      <c r="AI209" s="80" t="s">
        <v>967</v>
      </c>
      <c r="AJ209" s="80"/>
      <c r="AK209" s="83" t="s">
        <v>952</v>
      </c>
      <c r="AL209" s="80" t="b">
        <v>0</v>
      </c>
      <c r="AM209" s="80">
        <v>11</v>
      </c>
      <c r="AN209" s="83" t="s">
        <v>894</v>
      </c>
      <c r="AO209" s="83" t="s">
        <v>979</v>
      </c>
      <c r="AP209" s="80" t="b">
        <v>0</v>
      </c>
      <c r="AQ209" s="83" t="s">
        <v>894</v>
      </c>
      <c r="AR209" s="80" t="s">
        <v>196</v>
      </c>
      <c r="AS209" s="80">
        <v>0</v>
      </c>
      <c r="AT209" s="80">
        <v>0</v>
      </c>
      <c r="AU209" s="80"/>
      <c r="AV209" s="80"/>
      <c r="AW209" s="80"/>
      <c r="AX209" s="80"/>
      <c r="AY209" s="80"/>
      <c r="AZ209" s="80"/>
      <c r="BA209" s="80"/>
      <c r="BB209" s="80"/>
      <c r="BC209">
        <v>3</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324</v>
      </c>
      <c r="B210" s="65" t="s">
        <v>331</v>
      </c>
      <c r="C210" s="66" t="s">
        <v>2818</v>
      </c>
      <c r="D210" s="67">
        <v>10</v>
      </c>
      <c r="E210" s="66" t="s">
        <v>136</v>
      </c>
      <c r="F210" s="69">
        <v>25.5</v>
      </c>
      <c r="G210" s="66"/>
      <c r="H210" s="70"/>
      <c r="I210" s="71"/>
      <c r="J210" s="71"/>
      <c r="K210" s="35" t="s">
        <v>65</v>
      </c>
      <c r="L210" s="72">
        <v>210</v>
      </c>
      <c r="M210" s="72"/>
      <c r="N210" s="73"/>
      <c r="O210" s="80" t="s">
        <v>407</v>
      </c>
      <c r="P210" s="82">
        <v>44476.41767361111</v>
      </c>
      <c r="Q210" s="80" t="s">
        <v>432</v>
      </c>
      <c r="R210" s="85" t="str">
        <f>HYPERLINK("https://econ.trib.al/UuLdSAj")</f>
        <v>https://econ.trib.al/UuLdSAj</v>
      </c>
      <c r="S210" s="80" t="s">
        <v>528</v>
      </c>
      <c r="T210" s="80"/>
      <c r="U210" s="80"/>
      <c r="V210" s="85" t="str">
        <f>HYPERLINK("https://pbs.twimg.com/profile_images/1446768416107294721/7O_VaIxM_normal.jpg")</f>
        <v>https://pbs.twimg.com/profile_images/1446768416107294721/7O_VaIxM_normal.jpg</v>
      </c>
      <c r="W210" s="82">
        <v>44476.41767361111</v>
      </c>
      <c r="X210" s="87">
        <v>44476</v>
      </c>
      <c r="Y210" s="83" t="s">
        <v>671</v>
      </c>
      <c r="Z210" s="85" t="str">
        <f>HYPERLINK("https://twitter.com/parvez_offi/status/1446053048606859266")</f>
        <v>https://twitter.com/parvez_offi/status/1446053048606859266</v>
      </c>
      <c r="AA210" s="80"/>
      <c r="AB210" s="80"/>
      <c r="AC210" s="83" t="s">
        <v>854</v>
      </c>
      <c r="AD210" s="80"/>
      <c r="AE210" s="80" t="b">
        <v>0</v>
      </c>
      <c r="AF210" s="80">
        <v>0</v>
      </c>
      <c r="AG210" s="83" t="s">
        <v>952</v>
      </c>
      <c r="AH210" s="80" t="b">
        <v>0</v>
      </c>
      <c r="AI210" s="80" t="s">
        <v>967</v>
      </c>
      <c r="AJ210" s="80"/>
      <c r="AK210" s="83" t="s">
        <v>952</v>
      </c>
      <c r="AL210" s="80" t="b">
        <v>0</v>
      </c>
      <c r="AM210" s="80">
        <v>11</v>
      </c>
      <c r="AN210" s="83" t="s">
        <v>894</v>
      </c>
      <c r="AO210" s="83" t="s">
        <v>979</v>
      </c>
      <c r="AP210" s="80" t="b">
        <v>0</v>
      </c>
      <c r="AQ210" s="83" t="s">
        <v>894</v>
      </c>
      <c r="AR210" s="80" t="s">
        <v>196</v>
      </c>
      <c r="AS210" s="80">
        <v>0</v>
      </c>
      <c r="AT210" s="80">
        <v>0</v>
      </c>
      <c r="AU210" s="80"/>
      <c r="AV210" s="80"/>
      <c r="AW210" s="80"/>
      <c r="AX210" s="80"/>
      <c r="AY210" s="80"/>
      <c r="AZ210" s="80"/>
      <c r="BA210" s="80"/>
      <c r="BB210" s="80"/>
      <c r="BC210">
        <v>3</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324</v>
      </c>
      <c r="B211" s="65" t="s">
        <v>378</v>
      </c>
      <c r="C211" s="66" t="s">
        <v>2818</v>
      </c>
      <c r="D211" s="67">
        <v>10</v>
      </c>
      <c r="E211" s="66" t="s">
        <v>136</v>
      </c>
      <c r="F211" s="69">
        <v>25.5</v>
      </c>
      <c r="G211" s="66"/>
      <c r="H211" s="70"/>
      <c r="I211" s="71"/>
      <c r="J211" s="71"/>
      <c r="K211" s="35" t="s">
        <v>65</v>
      </c>
      <c r="L211" s="72">
        <v>211</v>
      </c>
      <c r="M211" s="72"/>
      <c r="N211" s="73"/>
      <c r="O211" s="80" t="s">
        <v>407</v>
      </c>
      <c r="P211" s="82">
        <v>44476.41767361111</v>
      </c>
      <c r="Q211" s="80" t="s">
        <v>432</v>
      </c>
      <c r="R211" s="85" t="str">
        <f>HYPERLINK("https://econ.trib.al/UuLdSAj")</f>
        <v>https://econ.trib.al/UuLdSAj</v>
      </c>
      <c r="S211" s="80" t="s">
        <v>528</v>
      </c>
      <c r="T211" s="80"/>
      <c r="U211" s="80"/>
      <c r="V211" s="85" t="str">
        <f>HYPERLINK("https://pbs.twimg.com/profile_images/1446768416107294721/7O_VaIxM_normal.jpg")</f>
        <v>https://pbs.twimg.com/profile_images/1446768416107294721/7O_VaIxM_normal.jpg</v>
      </c>
      <c r="W211" s="82">
        <v>44476.41767361111</v>
      </c>
      <c r="X211" s="87">
        <v>44476</v>
      </c>
      <c r="Y211" s="83" t="s">
        <v>671</v>
      </c>
      <c r="Z211" s="85" t="str">
        <f>HYPERLINK("https://twitter.com/parvez_offi/status/1446053048606859266")</f>
        <v>https://twitter.com/parvez_offi/status/1446053048606859266</v>
      </c>
      <c r="AA211" s="80"/>
      <c r="AB211" s="80"/>
      <c r="AC211" s="83" t="s">
        <v>854</v>
      </c>
      <c r="AD211" s="80"/>
      <c r="AE211" s="80" t="b">
        <v>0</v>
      </c>
      <c r="AF211" s="80">
        <v>0</v>
      </c>
      <c r="AG211" s="83" t="s">
        <v>952</v>
      </c>
      <c r="AH211" s="80" t="b">
        <v>0</v>
      </c>
      <c r="AI211" s="80" t="s">
        <v>967</v>
      </c>
      <c r="AJ211" s="80"/>
      <c r="AK211" s="83" t="s">
        <v>952</v>
      </c>
      <c r="AL211" s="80" t="b">
        <v>0</v>
      </c>
      <c r="AM211" s="80">
        <v>11</v>
      </c>
      <c r="AN211" s="83" t="s">
        <v>894</v>
      </c>
      <c r="AO211" s="83" t="s">
        <v>979</v>
      </c>
      <c r="AP211" s="80" t="b">
        <v>0</v>
      </c>
      <c r="AQ211" s="83" t="s">
        <v>894</v>
      </c>
      <c r="AR211" s="80" t="s">
        <v>196</v>
      </c>
      <c r="AS211" s="80">
        <v>0</v>
      </c>
      <c r="AT211" s="80">
        <v>0</v>
      </c>
      <c r="AU211" s="80"/>
      <c r="AV211" s="80"/>
      <c r="AW211" s="80"/>
      <c r="AX211" s="80"/>
      <c r="AY211" s="80"/>
      <c r="AZ211" s="80"/>
      <c r="BA211" s="80"/>
      <c r="BB211" s="80"/>
      <c r="BC211">
        <v>3</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324</v>
      </c>
      <c r="B212" s="65" t="s">
        <v>342</v>
      </c>
      <c r="C212" s="66" t="s">
        <v>2818</v>
      </c>
      <c r="D212" s="67">
        <v>10</v>
      </c>
      <c r="E212" s="66" t="s">
        <v>136</v>
      </c>
      <c r="F212" s="69">
        <v>25.5</v>
      </c>
      <c r="G212" s="66"/>
      <c r="H212" s="70"/>
      <c r="I212" s="71"/>
      <c r="J212" s="71"/>
      <c r="K212" s="35" t="s">
        <v>65</v>
      </c>
      <c r="L212" s="72">
        <v>212</v>
      </c>
      <c r="M212" s="72"/>
      <c r="N212" s="73"/>
      <c r="O212" s="80" t="s">
        <v>408</v>
      </c>
      <c r="P212" s="82">
        <v>44476.41767361111</v>
      </c>
      <c r="Q212" s="80" t="s">
        <v>432</v>
      </c>
      <c r="R212" s="85" t="str">
        <f>HYPERLINK("https://econ.trib.al/UuLdSAj")</f>
        <v>https://econ.trib.al/UuLdSAj</v>
      </c>
      <c r="S212" s="80" t="s">
        <v>528</v>
      </c>
      <c r="T212" s="80"/>
      <c r="U212" s="80"/>
      <c r="V212" s="85" t="str">
        <f>HYPERLINK("https://pbs.twimg.com/profile_images/1446768416107294721/7O_VaIxM_normal.jpg")</f>
        <v>https://pbs.twimg.com/profile_images/1446768416107294721/7O_VaIxM_normal.jpg</v>
      </c>
      <c r="W212" s="82">
        <v>44476.41767361111</v>
      </c>
      <c r="X212" s="87">
        <v>44476</v>
      </c>
      <c r="Y212" s="83" t="s">
        <v>671</v>
      </c>
      <c r="Z212" s="85" t="str">
        <f>HYPERLINK("https://twitter.com/parvez_offi/status/1446053048606859266")</f>
        <v>https://twitter.com/parvez_offi/status/1446053048606859266</v>
      </c>
      <c r="AA212" s="80"/>
      <c r="AB212" s="80"/>
      <c r="AC212" s="83" t="s">
        <v>854</v>
      </c>
      <c r="AD212" s="80"/>
      <c r="AE212" s="80" t="b">
        <v>0</v>
      </c>
      <c r="AF212" s="80">
        <v>0</v>
      </c>
      <c r="AG212" s="83" t="s">
        <v>952</v>
      </c>
      <c r="AH212" s="80" t="b">
        <v>0</v>
      </c>
      <c r="AI212" s="80" t="s">
        <v>967</v>
      </c>
      <c r="AJ212" s="80"/>
      <c r="AK212" s="83" t="s">
        <v>952</v>
      </c>
      <c r="AL212" s="80" t="b">
        <v>0</v>
      </c>
      <c r="AM212" s="80">
        <v>11</v>
      </c>
      <c r="AN212" s="83" t="s">
        <v>894</v>
      </c>
      <c r="AO212" s="83" t="s">
        <v>979</v>
      </c>
      <c r="AP212" s="80" t="b">
        <v>0</v>
      </c>
      <c r="AQ212" s="83" t="s">
        <v>894</v>
      </c>
      <c r="AR212" s="80" t="s">
        <v>196</v>
      </c>
      <c r="AS212" s="80">
        <v>0</v>
      </c>
      <c r="AT212" s="80">
        <v>0</v>
      </c>
      <c r="AU212" s="80"/>
      <c r="AV212" s="80"/>
      <c r="AW212" s="80"/>
      <c r="AX212" s="80"/>
      <c r="AY212" s="80"/>
      <c r="AZ212" s="80"/>
      <c r="BA212" s="80"/>
      <c r="BB212" s="80"/>
      <c r="BC212">
        <v>3</v>
      </c>
      <c r="BD212" s="79" t="str">
        <f>REPLACE(INDEX(GroupVertices[Group],MATCH(Edges[[#This Row],[Vertex 1]],GroupVertices[Vertex],0)),1,1,"")</f>
        <v>1</v>
      </c>
      <c r="BE212" s="79" t="str">
        <f>REPLACE(INDEX(GroupVertices[Group],MATCH(Edges[[#This Row],[Vertex 2]],GroupVertices[Vertex],0)),1,1,"")</f>
        <v>1</v>
      </c>
      <c r="BF212" s="49">
        <v>0</v>
      </c>
      <c r="BG212" s="50">
        <v>0</v>
      </c>
      <c r="BH212" s="49">
        <v>0</v>
      </c>
      <c r="BI212" s="50">
        <v>0</v>
      </c>
      <c r="BJ212" s="49">
        <v>0</v>
      </c>
      <c r="BK212" s="50">
        <v>0</v>
      </c>
      <c r="BL212" s="49">
        <v>34</v>
      </c>
      <c r="BM212" s="50">
        <v>100</v>
      </c>
      <c r="BN212" s="49">
        <v>34</v>
      </c>
    </row>
    <row r="213" spans="1:66" ht="15">
      <c r="A213" s="65" t="s">
        <v>324</v>
      </c>
      <c r="B213" s="65" t="s">
        <v>377</v>
      </c>
      <c r="C213" s="66" t="s">
        <v>2818</v>
      </c>
      <c r="D213" s="67">
        <v>10</v>
      </c>
      <c r="E213" s="66" t="s">
        <v>136</v>
      </c>
      <c r="F213" s="69">
        <v>25.5</v>
      </c>
      <c r="G213" s="66"/>
      <c r="H213" s="70"/>
      <c r="I213" s="71"/>
      <c r="J213" s="71"/>
      <c r="K213" s="35" t="s">
        <v>65</v>
      </c>
      <c r="L213" s="72">
        <v>213</v>
      </c>
      <c r="M213" s="72"/>
      <c r="N213" s="73"/>
      <c r="O213" s="80" t="s">
        <v>407</v>
      </c>
      <c r="P213" s="82">
        <v>44478.18208333333</v>
      </c>
      <c r="Q213" s="80" t="s">
        <v>452</v>
      </c>
      <c r="R213" s="85" t="str">
        <f>HYPERLINK("https://econ.trib.al/B6siniM")</f>
        <v>https://econ.trib.al/B6siniM</v>
      </c>
      <c r="S213" s="80" t="s">
        <v>528</v>
      </c>
      <c r="T213" s="80"/>
      <c r="U213" s="80"/>
      <c r="V213" s="85" t="str">
        <f>HYPERLINK("https://pbs.twimg.com/profile_images/1446768416107294721/7O_VaIxM_normal.jpg")</f>
        <v>https://pbs.twimg.com/profile_images/1446768416107294721/7O_VaIxM_normal.jpg</v>
      </c>
      <c r="W213" s="82">
        <v>44478.18208333333</v>
      </c>
      <c r="X213" s="87">
        <v>44478</v>
      </c>
      <c r="Y213" s="83" t="s">
        <v>672</v>
      </c>
      <c r="Z213" s="85" t="str">
        <f>HYPERLINK("https://twitter.com/parvez_offi/status/1446692448147701760")</f>
        <v>https://twitter.com/parvez_offi/status/1446692448147701760</v>
      </c>
      <c r="AA213" s="80"/>
      <c r="AB213" s="80"/>
      <c r="AC213" s="83" t="s">
        <v>855</v>
      </c>
      <c r="AD213" s="80"/>
      <c r="AE213" s="80" t="b">
        <v>0</v>
      </c>
      <c r="AF213" s="80">
        <v>0</v>
      </c>
      <c r="AG213" s="83" t="s">
        <v>952</v>
      </c>
      <c r="AH213" s="80" t="b">
        <v>0</v>
      </c>
      <c r="AI213" s="80" t="s">
        <v>967</v>
      </c>
      <c r="AJ213" s="80"/>
      <c r="AK213" s="83" t="s">
        <v>952</v>
      </c>
      <c r="AL213" s="80" t="b">
        <v>0</v>
      </c>
      <c r="AM213" s="80">
        <v>12</v>
      </c>
      <c r="AN213" s="83" t="s">
        <v>895</v>
      </c>
      <c r="AO213" s="83" t="s">
        <v>979</v>
      </c>
      <c r="AP213" s="80" t="b">
        <v>0</v>
      </c>
      <c r="AQ213" s="83" t="s">
        <v>895</v>
      </c>
      <c r="AR213" s="80" t="s">
        <v>196</v>
      </c>
      <c r="AS213" s="80">
        <v>0</v>
      </c>
      <c r="AT213" s="80">
        <v>0</v>
      </c>
      <c r="AU213" s="80"/>
      <c r="AV213" s="80"/>
      <c r="AW213" s="80"/>
      <c r="AX213" s="80"/>
      <c r="AY213" s="80"/>
      <c r="AZ213" s="80"/>
      <c r="BA213" s="80"/>
      <c r="BB213" s="80"/>
      <c r="BC213">
        <v>3</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324</v>
      </c>
      <c r="B214" s="65" t="s">
        <v>331</v>
      </c>
      <c r="C214" s="66" t="s">
        <v>2818</v>
      </c>
      <c r="D214" s="67">
        <v>10</v>
      </c>
      <c r="E214" s="66" t="s">
        <v>136</v>
      </c>
      <c r="F214" s="69">
        <v>25.5</v>
      </c>
      <c r="G214" s="66"/>
      <c r="H214" s="70"/>
      <c r="I214" s="71"/>
      <c r="J214" s="71"/>
      <c r="K214" s="35" t="s">
        <v>65</v>
      </c>
      <c r="L214" s="72">
        <v>214</v>
      </c>
      <c r="M214" s="72"/>
      <c r="N214" s="73"/>
      <c r="O214" s="80" t="s">
        <v>407</v>
      </c>
      <c r="P214" s="82">
        <v>44478.18208333333</v>
      </c>
      <c r="Q214" s="80" t="s">
        <v>452</v>
      </c>
      <c r="R214" s="85" t="str">
        <f>HYPERLINK("https://econ.trib.al/B6siniM")</f>
        <v>https://econ.trib.al/B6siniM</v>
      </c>
      <c r="S214" s="80" t="s">
        <v>528</v>
      </c>
      <c r="T214" s="80"/>
      <c r="U214" s="80"/>
      <c r="V214" s="85" t="str">
        <f>HYPERLINK("https://pbs.twimg.com/profile_images/1446768416107294721/7O_VaIxM_normal.jpg")</f>
        <v>https://pbs.twimg.com/profile_images/1446768416107294721/7O_VaIxM_normal.jpg</v>
      </c>
      <c r="W214" s="82">
        <v>44478.18208333333</v>
      </c>
      <c r="X214" s="87">
        <v>44478</v>
      </c>
      <c r="Y214" s="83" t="s">
        <v>672</v>
      </c>
      <c r="Z214" s="85" t="str">
        <f>HYPERLINK("https://twitter.com/parvez_offi/status/1446692448147701760")</f>
        <v>https://twitter.com/parvez_offi/status/1446692448147701760</v>
      </c>
      <c r="AA214" s="80"/>
      <c r="AB214" s="80"/>
      <c r="AC214" s="83" t="s">
        <v>855</v>
      </c>
      <c r="AD214" s="80"/>
      <c r="AE214" s="80" t="b">
        <v>0</v>
      </c>
      <c r="AF214" s="80">
        <v>0</v>
      </c>
      <c r="AG214" s="83" t="s">
        <v>952</v>
      </c>
      <c r="AH214" s="80" t="b">
        <v>0</v>
      </c>
      <c r="AI214" s="80" t="s">
        <v>967</v>
      </c>
      <c r="AJ214" s="80"/>
      <c r="AK214" s="83" t="s">
        <v>952</v>
      </c>
      <c r="AL214" s="80" t="b">
        <v>0</v>
      </c>
      <c r="AM214" s="80">
        <v>12</v>
      </c>
      <c r="AN214" s="83" t="s">
        <v>895</v>
      </c>
      <c r="AO214" s="83" t="s">
        <v>979</v>
      </c>
      <c r="AP214" s="80" t="b">
        <v>0</v>
      </c>
      <c r="AQ214" s="83" t="s">
        <v>895</v>
      </c>
      <c r="AR214" s="80" t="s">
        <v>196</v>
      </c>
      <c r="AS214" s="80">
        <v>0</v>
      </c>
      <c r="AT214" s="80">
        <v>0</v>
      </c>
      <c r="AU214" s="80"/>
      <c r="AV214" s="80"/>
      <c r="AW214" s="80"/>
      <c r="AX214" s="80"/>
      <c r="AY214" s="80"/>
      <c r="AZ214" s="80"/>
      <c r="BA214" s="80"/>
      <c r="BB214" s="80"/>
      <c r="BC214">
        <v>3</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324</v>
      </c>
      <c r="B215" s="65" t="s">
        <v>378</v>
      </c>
      <c r="C215" s="66" t="s">
        <v>2818</v>
      </c>
      <c r="D215" s="67">
        <v>10</v>
      </c>
      <c r="E215" s="66" t="s">
        <v>136</v>
      </c>
      <c r="F215" s="69">
        <v>25.5</v>
      </c>
      <c r="G215" s="66"/>
      <c r="H215" s="70"/>
      <c r="I215" s="71"/>
      <c r="J215" s="71"/>
      <c r="K215" s="35" t="s">
        <v>65</v>
      </c>
      <c r="L215" s="72">
        <v>215</v>
      </c>
      <c r="M215" s="72"/>
      <c r="N215" s="73"/>
      <c r="O215" s="80" t="s">
        <v>407</v>
      </c>
      <c r="P215" s="82">
        <v>44478.18208333333</v>
      </c>
      <c r="Q215" s="80" t="s">
        <v>452</v>
      </c>
      <c r="R215" s="85" t="str">
        <f>HYPERLINK("https://econ.trib.al/B6siniM")</f>
        <v>https://econ.trib.al/B6siniM</v>
      </c>
      <c r="S215" s="80" t="s">
        <v>528</v>
      </c>
      <c r="T215" s="80"/>
      <c r="U215" s="80"/>
      <c r="V215" s="85" t="str">
        <f>HYPERLINK("https://pbs.twimg.com/profile_images/1446768416107294721/7O_VaIxM_normal.jpg")</f>
        <v>https://pbs.twimg.com/profile_images/1446768416107294721/7O_VaIxM_normal.jpg</v>
      </c>
      <c r="W215" s="82">
        <v>44478.18208333333</v>
      </c>
      <c r="X215" s="87">
        <v>44478</v>
      </c>
      <c r="Y215" s="83" t="s">
        <v>672</v>
      </c>
      <c r="Z215" s="85" t="str">
        <f>HYPERLINK("https://twitter.com/parvez_offi/status/1446692448147701760")</f>
        <v>https://twitter.com/parvez_offi/status/1446692448147701760</v>
      </c>
      <c r="AA215" s="80"/>
      <c r="AB215" s="80"/>
      <c r="AC215" s="83" t="s">
        <v>855</v>
      </c>
      <c r="AD215" s="80"/>
      <c r="AE215" s="80" t="b">
        <v>0</v>
      </c>
      <c r="AF215" s="80">
        <v>0</v>
      </c>
      <c r="AG215" s="83" t="s">
        <v>952</v>
      </c>
      <c r="AH215" s="80" t="b">
        <v>0</v>
      </c>
      <c r="AI215" s="80" t="s">
        <v>967</v>
      </c>
      <c r="AJ215" s="80"/>
      <c r="AK215" s="83" t="s">
        <v>952</v>
      </c>
      <c r="AL215" s="80" t="b">
        <v>0</v>
      </c>
      <c r="AM215" s="80">
        <v>12</v>
      </c>
      <c r="AN215" s="83" t="s">
        <v>895</v>
      </c>
      <c r="AO215" s="83" t="s">
        <v>979</v>
      </c>
      <c r="AP215" s="80" t="b">
        <v>0</v>
      </c>
      <c r="AQ215" s="83" t="s">
        <v>895</v>
      </c>
      <c r="AR215" s="80" t="s">
        <v>196</v>
      </c>
      <c r="AS215" s="80">
        <v>0</v>
      </c>
      <c r="AT215" s="80">
        <v>0</v>
      </c>
      <c r="AU215" s="80"/>
      <c r="AV215" s="80"/>
      <c r="AW215" s="80"/>
      <c r="AX215" s="80"/>
      <c r="AY215" s="80"/>
      <c r="AZ215" s="80"/>
      <c r="BA215" s="80"/>
      <c r="BB215" s="80"/>
      <c r="BC215">
        <v>3</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324</v>
      </c>
      <c r="B216" s="65" t="s">
        <v>342</v>
      </c>
      <c r="C216" s="66" t="s">
        <v>2818</v>
      </c>
      <c r="D216" s="67">
        <v>10</v>
      </c>
      <c r="E216" s="66" t="s">
        <v>136</v>
      </c>
      <c r="F216" s="69">
        <v>25.5</v>
      </c>
      <c r="G216" s="66"/>
      <c r="H216" s="70"/>
      <c r="I216" s="71"/>
      <c r="J216" s="71"/>
      <c r="K216" s="35" t="s">
        <v>65</v>
      </c>
      <c r="L216" s="72">
        <v>216</v>
      </c>
      <c r="M216" s="72"/>
      <c r="N216" s="73"/>
      <c r="O216" s="80" t="s">
        <v>408</v>
      </c>
      <c r="P216" s="82">
        <v>44478.18208333333</v>
      </c>
      <c r="Q216" s="80" t="s">
        <v>452</v>
      </c>
      <c r="R216" s="85" t="str">
        <f>HYPERLINK("https://econ.trib.al/B6siniM")</f>
        <v>https://econ.trib.al/B6siniM</v>
      </c>
      <c r="S216" s="80" t="s">
        <v>528</v>
      </c>
      <c r="T216" s="80"/>
      <c r="U216" s="80"/>
      <c r="V216" s="85" t="str">
        <f>HYPERLINK("https://pbs.twimg.com/profile_images/1446768416107294721/7O_VaIxM_normal.jpg")</f>
        <v>https://pbs.twimg.com/profile_images/1446768416107294721/7O_VaIxM_normal.jpg</v>
      </c>
      <c r="W216" s="82">
        <v>44478.18208333333</v>
      </c>
      <c r="X216" s="87">
        <v>44478</v>
      </c>
      <c r="Y216" s="83" t="s">
        <v>672</v>
      </c>
      <c r="Z216" s="85" t="str">
        <f>HYPERLINK("https://twitter.com/parvez_offi/status/1446692448147701760")</f>
        <v>https://twitter.com/parvez_offi/status/1446692448147701760</v>
      </c>
      <c r="AA216" s="80"/>
      <c r="AB216" s="80"/>
      <c r="AC216" s="83" t="s">
        <v>855</v>
      </c>
      <c r="AD216" s="80"/>
      <c r="AE216" s="80" t="b">
        <v>0</v>
      </c>
      <c r="AF216" s="80">
        <v>0</v>
      </c>
      <c r="AG216" s="83" t="s">
        <v>952</v>
      </c>
      <c r="AH216" s="80" t="b">
        <v>0</v>
      </c>
      <c r="AI216" s="80" t="s">
        <v>967</v>
      </c>
      <c r="AJ216" s="80"/>
      <c r="AK216" s="83" t="s">
        <v>952</v>
      </c>
      <c r="AL216" s="80" t="b">
        <v>0</v>
      </c>
      <c r="AM216" s="80">
        <v>12</v>
      </c>
      <c r="AN216" s="83" t="s">
        <v>895</v>
      </c>
      <c r="AO216" s="83" t="s">
        <v>979</v>
      </c>
      <c r="AP216" s="80" t="b">
        <v>0</v>
      </c>
      <c r="AQ216" s="83" t="s">
        <v>895</v>
      </c>
      <c r="AR216" s="80" t="s">
        <v>196</v>
      </c>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9">
        <v>0</v>
      </c>
      <c r="BG216" s="50">
        <v>0</v>
      </c>
      <c r="BH216" s="49">
        <v>0</v>
      </c>
      <c r="BI216" s="50">
        <v>0</v>
      </c>
      <c r="BJ216" s="49">
        <v>0</v>
      </c>
      <c r="BK216" s="50">
        <v>0</v>
      </c>
      <c r="BL216" s="49">
        <v>34</v>
      </c>
      <c r="BM216" s="50">
        <v>100</v>
      </c>
      <c r="BN216" s="49">
        <v>34</v>
      </c>
    </row>
    <row r="217" spans="1:66" ht="15">
      <c r="A217" s="65" t="s">
        <v>324</v>
      </c>
      <c r="B217" s="65" t="s">
        <v>377</v>
      </c>
      <c r="C217" s="66" t="s">
        <v>2818</v>
      </c>
      <c r="D217" s="67">
        <v>10</v>
      </c>
      <c r="E217" s="66" t="s">
        <v>136</v>
      </c>
      <c r="F217" s="69">
        <v>25.5</v>
      </c>
      <c r="G217" s="66"/>
      <c r="H217" s="70"/>
      <c r="I217" s="71"/>
      <c r="J217" s="71"/>
      <c r="K217" s="35" t="s">
        <v>65</v>
      </c>
      <c r="L217" s="72">
        <v>217</v>
      </c>
      <c r="M217" s="72"/>
      <c r="N217" s="73"/>
      <c r="O217" s="80" t="s">
        <v>407</v>
      </c>
      <c r="P217" s="82">
        <v>44480.174791666665</v>
      </c>
      <c r="Q217" s="80" t="s">
        <v>468</v>
      </c>
      <c r="R217" s="85" t="str">
        <f>HYPERLINK("https://econ.trib.al/w1YeE88")</f>
        <v>https://econ.trib.al/w1YeE88</v>
      </c>
      <c r="S217" s="80" t="s">
        <v>528</v>
      </c>
      <c r="T217" s="80"/>
      <c r="U217" s="80"/>
      <c r="V217" s="85" t="str">
        <f>HYPERLINK("https://pbs.twimg.com/profile_images/1446768416107294721/7O_VaIxM_normal.jpg")</f>
        <v>https://pbs.twimg.com/profile_images/1446768416107294721/7O_VaIxM_normal.jpg</v>
      </c>
      <c r="W217" s="82">
        <v>44480.174791666665</v>
      </c>
      <c r="X217" s="87">
        <v>44480</v>
      </c>
      <c r="Y217" s="83" t="s">
        <v>673</v>
      </c>
      <c r="Z217" s="85" t="str">
        <f>HYPERLINK("https://twitter.com/parvez_offi/status/1447414582432002049")</f>
        <v>https://twitter.com/parvez_offi/status/1447414582432002049</v>
      </c>
      <c r="AA217" s="80"/>
      <c r="AB217" s="80"/>
      <c r="AC217" s="83" t="s">
        <v>856</v>
      </c>
      <c r="AD217" s="80"/>
      <c r="AE217" s="80" t="b">
        <v>0</v>
      </c>
      <c r="AF217" s="80">
        <v>0</v>
      </c>
      <c r="AG217" s="83" t="s">
        <v>952</v>
      </c>
      <c r="AH217" s="80" t="b">
        <v>0</v>
      </c>
      <c r="AI217" s="80" t="s">
        <v>967</v>
      </c>
      <c r="AJ217" s="80"/>
      <c r="AK217" s="83" t="s">
        <v>952</v>
      </c>
      <c r="AL217" s="80" t="b">
        <v>0</v>
      </c>
      <c r="AM217" s="80">
        <v>10</v>
      </c>
      <c r="AN217" s="83" t="s">
        <v>896</v>
      </c>
      <c r="AO217" s="83" t="s">
        <v>979</v>
      </c>
      <c r="AP217" s="80" t="b">
        <v>0</v>
      </c>
      <c r="AQ217" s="83" t="s">
        <v>896</v>
      </c>
      <c r="AR217" s="80" t="s">
        <v>196</v>
      </c>
      <c r="AS217" s="80">
        <v>0</v>
      </c>
      <c r="AT217" s="80">
        <v>0</v>
      </c>
      <c r="AU217" s="80"/>
      <c r="AV217" s="80"/>
      <c r="AW217" s="80"/>
      <c r="AX217" s="80"/>
      <c r="AY217" s="80"/>
      <c r="AZ217" s="80"/>
      <c r="BA217" s="80"/>
      <c r="BB217" s="80"/>
      <c r="BC217">
        <v>3</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324</v>
      </c>
      <c r="B218" s="65" t="s">
        <v>331</v>
      </c>
      <c r="C218" s="66" t="s">
        <v>2818</v>
      </c>
      <c r="D218" s="67">
        <v>10</v>
      </c>
      <c r="E218" s="66" t="s">
        <v>136</v>
      </c>
      <c r="F218" s="69">
        <v>25.5</v>
      </c>
      <c r="G218" s="66"/>
      <c r="H218" s="70"/>
      <c r="I218" s="71"/>
      <c r="J218" s="71"/>
      <c r="K218" s="35" t="s">
        <v>65</v>
      </c>
      <c r="L218" s="72">
        <v>218</v>
      </c>
      <c r="M218" s="72"/>
      <c r="N218" s="73"/>
      <c r="O218" s="80" t="s">
        <v>407</v>
      </c>
      <c r="P218" s="82">
        <v>44480.174791666665</v>
      </c>
      <c r="Q218" s="80" t="s">
        <v>468</v>
      </c>
      <c r="R218" s="85" t="str">
        <f>HYPERLINK("https://econ.trib.al/w1YeE88")</f>
        <v>https://econ.trib.al/w1YeE88</v>
      </c>
      <c r="S218" s="80" t="s">
        <v>528</v>
      </c>
      <c r="T218" s="80"/>
      <c r="U218" s="80"/>
      <c r="V218" s="85" t="str">
        <f>HYPERLINK("https://pbs.twimg.com/profile_images/1446768416107294721/7O_VaIxM_normal.jpg")</f>
        <v>https://pbs.twimg.com/profile_images/1446768416107294721/7O_VaIxM_normal.jpg</v>
      </c>
      <c r="W218" s="82">
        <v>44480.174791666665</v>
      </c>
      <c r="X218" s="87">
        <v>44480</v>
      </c>
      <c r="Y218" s="83" t="s">
        <v>673</v>
      </c>
      <c r="Z218" s="85" t="str">
        <f>HYPERLINK("https://twitter.com/parvez_offi/status/1447414582432002049")</f>
        <v>https://twitter.com/parvez_offi/status/1447414582432002049</v>
      </c>
      <c r="AA218" s="80"/>
      <c r="AB218" s="80"/>
      <c r="AC218" s="83" t="s">
        <v>856</v>
      </c>
      <c r="AD218" s="80"/>
      <c r="AE218" s="80" t="b">
        <v>0</v>
      </c>
      <c r="AF218" s="80">
        <v>0</v>
      </c>
      <c r="AG218" s="83" t="s">
        <v>952</v>
      </c>
      <c r="AH218" s="80" t="b">
        <v>0</v>
      </c>
      <c r="AI218" s="80" t="s">
        <v>967</v>
      </c>
      <c r="AJ218" s="80"/>
      <c r="AK218" s="83" t="s">
        <v>952</v>
      </c>
      <c r="AL218" s="80" t="b">
        <v>0</v>
      </c>
      <c r="AM218" s="80">
        <v>10</v>
      </c>
      <c r="AN218" s="83" t="s">
        <v>896</v>
      </c>
      <c r="AO218" s="83" t="s">
        <v>979</v>
      </c>
      <c r="AP218" s="80" t="b">
        <v>0</v>
      </c>
      <c r="AQ218" s="83" t="s">
        <v>896</v>
      </c>
      <c r="AR218" s="80" t="s">
        <v>196</v>
      </c>
      <c r="AS218" s="80">
        <v>0</v>
      </c>
      <c r="AT218" s="80">
        <v>0</v>
      </c>
      <c r="AU218" s="80"/>
      <c r="AV218" s="80"/>
      <c r="AW218" s="80"/>
      <c r="AX218" s="80"/>
      <c r="AY218" s="80"/>
      <c r="AZ218" s="80"/>
      <c r="BA218" s="80"/>
      <c r="BB218" s="80"/>
      <c r="BC218">
        <v>3</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324</v>
      </c>
      <c r="B219" s="65" t="s">
        <v>378</v>
      </c>
      <c r="C219" s="66" t="s">
        <v>2818</v>
      </c>
      <c r="D219" s="67">
        <v>10</v>
      </c>
      <c r="E219" s="66" t="s">
        <v>136</v>
      </c>
      <c r="F219" s="69">
        <v>25.5</v>
      </c>
      <c r="G219" s="66"/>
      <c r="H219" s="70"/>
      <c r="I219" s="71"/>
      <c r="J219" s="71"/>
      <c r="K219" s="35" t="s">
        <v>65</v>
      </c>
      <c r="L219" s="72">
        <v>219</v>
      </c>
      <c r="M219" s="72"/>
      <c r="N219" s="73"/>
      <c r="O219" s="80" t="s">
        <v>407</v>
      </c>
      <c r="P219" s="82">
        <v>44480.174791666665</v>
      </c>
      <c r="Q219" s="80" t="s">
        <v>468</v>
      </c>
      <c r="R219" s="85" t="str">
        <f>HYPERLINK("https://econ.trib.al/w1YeE88")</f>
        <v>https://econ.trib.al/w1YeE88</v>
      </c>
      <c r="S219" s="80" t="s">
        <v>528</v>
      </c>
      <c r="T219" s="80"/>
      <c r="U219" s="80"/>
      <c r="V219" s="85" t="str">
        <f>HYPERLINK("https://pbs.twimg.com/profile_images/1446768416107294721/7O_VaIxM_normal.jpg")</f>
        <v>https://pbs.twimg.com/profile_images/1446768416107294721/7O_VaIxM_normal.jpg</v>
      </c>
      <c r="W219" s="82">
        <v>44480.174791666665</v>
      </c>
      <c r="X219" s="87">
        <v>44480</v>
      </c>
      <c r="Y219" s="83" t="s">
        <v>673</v>
      </c>
      <c r="Z219" s="85" t="str">
        <f>HYPERLINK("https://twitter.com/parvez_offi/status/1447414582432002049")</f>
        <v>https://twitter.com/parvez_offi/status/1447414582432002049</v>
      </c>
      <c r="AA219" s="80"/>
      <c r="AB219" s="80"/>
      <c r="AC219" s="83" t="s">
        <v>856</v>
      </c>
      <c r="AD219" s="80"/>
      <c r="AE219" s="80" t="b">
        <v>0</v>
      </c>
      <c r="AF219" s="80">
        <v>0</v>
      </c>
      <c r="AG219" s="83" t="s">
        <v>952</v>
      </c>
      <c r="AH219" s="80" t="b">
        <v>0</v>
      </c>
      <c r="AI219" s="80" t="s">
        <v>967</v>
      </c>
      <c r="AJ219" s="80"/>
      <c r="AK219" s="83" t="s">
        <v>952</v>
      </c>
      <c r="AL219" s="80" t="b">
        <v>0</v>
      </c>
      <c r="AM219" s="80">
        <v>10</v>
      </c>
      <c r="AN219" s="83" t="s">
        <v>896</v>
      </c>
      <c r="AO219" s="83" t="s">
        <v>979</v>
      </c>
      <c r="AP219" s="80" t="b">
        <v>0</v>
      </c>
      <c r="AQ219" s="83" t="s">
        <v>896</v>
      </c>
      <c r="AR219" s="80" t="s">
        <v>196</v>
      </c>
      <c r="AS219" s="80">
        <v>0</v>
      </c>
      <c r="AT219" s="80">
        <v>0</v>
      </c>
      <c r="AU219" s="80"/>
      <c r="AV219" s="80"/>
      <c r="AW219" s="80"/>
      <c r="AX219" s="80"/>
      <c r="AY219" s="80"/>
      <c r="AZ219" s="80"/>
      <c r="BA219" s="80"/>
      <c r="BB219" s="80"/>
      <c r="BC219">
        <v>3</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324</v>
      </c>
      <c r="B220" s="65" t="s">
        <v>342</v>
      </c>
      <c r="C220" s="66" t="s">
        <v>2818</v>
      </c>
      <c r="D220" s="67">
        <v>10</v>
      </c>
      <c r="E220" s="66" t="s">
        <v>136</v>
      </c>
      <c r="F220" s="69">
        <v>25.5</v>
      </c>
      <c r="G220" s="66"/>
      <c r="H220" s="70"/>
      <c r="I220" s="71"/>
      <c r="J220" s="71"/>
      <c r="K220" s="35" t="s">
        <v>65</v>
      </c>
      <c r="L220" s="72">
        <v>220</v>
      </c>
      <c r="M220" s="72"/>
      <c r="N220" s="73"/>
      <c r="O220" s="80" t="s">
        <v>408</v>
      </c>
      <c r="P220" s="82">
        <v>44480.174791666665</v>
      </c>
      <c r="Q220" s="80" t="s">
        <v>468</v>
      </c>
      <c r="R220" s="85" t="str">
        <f>HYPERLINK("https://econ.trib.al/w1YeE88")</f>
        <v>https://econ.trib.al/w1YeE88</v>
      </c>
      <c r="S220" s="80" t="s">
        <v>528</v>
      </c>
      <c r="T220" s="80"/>
      <c r="U220" s="80"/>
      <c r="V220" s="85" t="str">
        <f>HYPERLINK("https://pbs.twimg.com/profile_images/1446768416107294721/7O_VaIxM_normal.jpg")</f>
        <v>https://pbs.twimg.com/profile_images/1446768416107294721/7O_VaIxM_normal.jpg</v>
      </c>
      <c r="W220" s="82">
        <v>44480.174791666665</v>
      </c>
      <c r="X220" s="87">
        <v>44480</v>
      </c>
      <c r="Y220" s="83" t="s">
        <v>673</v>
      </c>
      <c r="Z220" s="85" t="str">
        <f>HYPERLINK("https://twitter.com/parvez_offi/status/1447414582432002049")</f>
        <v>https://twitter.com/parvez_offi/status/1447414582432002049</v>
      </c>
      <c r="AA220" s="80"/>
      <c r="AB220" s="80"/>
      <c r="AC220" s="83" t="s">
        <v>856</v>
      </c>
      <c r="AD220" s="80"/>
      <c r="AE220" s="80" t="b">
        <v>0</v>
      </c>
      <c r="AF220" s="80">
        <v>0</v>
      </c>
      <c r="AG220" s="83" t="s">
        <v>952</v>
      </c>
      <c r="AH220" s="80" t="b">
        <v>0</v>
      </c>
      <c r="AI220" s="80" t="s">
        <v>967</v>
      </c>
      <c r="AJ220" s="80"/>
      <c r="AK220" s="83" t="s">
        <v>952</v>
      </c>
      <c r="AL220" s="80" t="b">
        <v>0</v>
      </c>
      <c r="AM220" s="80">
        <v>10</v>
      </c>
      <c r="AN220" s="83" t="s">
        <v>896</v>
      </c>
      <c r="AO220" s="83" t="s">
        <v>979</v>
      </c>
      <c r="AP220" s="80" t="b">
        <v>0</v>
      </c>
      <c r="AQ220" s="83" t="s">
        <v>896</v>
      </c>
      <c r="AR220" s="80" t="s">
        <v>196</v>
      </c>
      <c r="AS220" s="80">
        <v>0</v>
      </c>
      <c r="AT220" s="80">
        <v>0</v>
      </c>
      <c r="AU220" s="80"/>
      <c r="AV220" s="80"/>
      <c r="AW220" s="80"/>
      <c r="AX220" s="80"/>
      <c r="AY220" s="80"/>
      <c r="AZ220" s="80"/>
      <c r="BA220" s="80"/>
      <c r="BB220" s="80"/>
      <c r="BC220">
        <v>3</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34</v>
      </c>
      <c r="BM220" s="50">
        <v>100</v>
      </c>
      <c r="BN220" s="49">
        <v>34</v>
      </c>
    </row>
    <row r="221" spans="1:66" ht="15">
      <c r="A221" s="65" t="s">
        <v>325</v>
      </c>
      <c r="B221" s="65" t="s">
        <v>377</v>
      </c>
      <c r="C221" s="66" t="s">
        <v>2815</v>
      </c>
      <c r="D221" s="67">
        <v>3</v>
      </c>
      <c r="E221" s="66" t="s">
        <v>132</v>
      </c>
      <c r="F221" s="69">
        <v>32</v>
      </c>
      <c r="G221" s="66"/>
      <c r="H221" s="70"/>
      <c r="I221" s="71"/>
      <c r="J221" s="71"/>
      <c r="K221" s="35" t="s">
        <v>65</v>
      </c>
      <c r="L221" s="72">
        <v>221</v>
      </c>
      <c r="M221" s="72"/>
      <c r="N221" s="73"/>
      <c r="O221" s="80" t="s">
        <v>407</v>
      </c>
      <c r="P221" s="82">
        <v>44480.1791087963</v>
      </c>
      <c r="Q221" s="80" t="s">
        <v>468</v>
      </c>
      <c r="R221" s="85" t="str">
        <f>HYPERLINK("https://econ.trib.al/w1YeE88")</f>
        <v>https://econ.trib.al/w1YeE88</v>
      </c>
      <c r="S221" s="80" t="s">
        <v>528</v>
      </c>
      <c r="T221" s="80"/>
      <c r="U221" s="80"/>
      <c r="V221" s="85" t="str">
        <f>HYPERLINK("https://pbs.twimg.com/profile_images/1349481526006788098/7jHlAj8V_normal.jpg")</f>
        <v>https://pbs.twimg.com/profile_images/1349481526006788098/7jHlAj8V_normal.jpg</v>
      </c>
      <c r="W221" s="82">
        <v>44480.1791087963</v>
      </c>
      <c r="X221" s="87">
        <v>44480</v>
      </c>
      <c r="Y221" s="83" t="s">
        <v>674</v>
      </c>
      <c r="Z221" s="85" t="str">
        <f>HYPERLINK("https://twitter.com/monluz2/status/1447416146932551683")</f>
        <v>https://twitter.com/monluz2/status/1447416146932551683</v>
      </c>
      <c r="AA221" s="80"/>
      <c r="AB221" s="80"/>
      <c r="AC221" s="83" t="s">
        <v>857</v>
      </c>
      <c r="AD221" s="80"/>
      <c r="AE221" s="80" t="b">
        <v>0</v>
      </c>
      <c r="AF221" s="80">
        <v>0</v>
      </c>
      <c r="AG221" s="83" t="s">
        <v>952</v>
      </c>
      <c r="AH221" s="80" t="b">
        <v>0</v>
      </c>
      <c r="AI221" s="80" t="s">
        <v>967</v>
      </c>
      <c r="AJ221" s="80"/>
      <c r="AK221" s="83" t="s">
        <v>952</v>
      </c>
      <c r="AL221" s="80" t="b">
        <v>0</v>
      </c>
      <c r="AM221" s="80">
        <v>10</v>
      </c>
      <c r="AN221" s="83" t="s">
        <v>896</v>
      </c>
      <c r="AO221" s="83" t="s">
        <v>979</v>
      </c>
      <c r="AP221" s="80" t="b">
        <v>0</v>
      </c>
      <c r="AQ221" s="83" t="s">
        <v>896</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325</v>
      </c>
      <c r="B222" s="65" t="s">
        <v>331</v>
      </c>
      <c r="C222" s="66" t="s">
        <v>2815</v>
      </c>
      <c r="D222" s="67">
        <v>3</v>
      </c>
      <c r="E222" s="66" t="s">
        <v>132</v>
      </c>
      <c r="F222" s="69">
        <v>32</v>
      </c>
      <c r="G222" s="66"/>
      <c r="H222" s="70"/>
      <c r="I222" s="71"/>
      <c r="J222" s="71"/>
      <c r="K222" s="35" t="s">
        <v>65</v>
      </c>
      <c r="L222" s="72">
        <v>222</v>
      </c>
      <c r="M222" s="72"/>
      <c r="N222" s="73"/>
      <c r="O222" s="80" t="s">
        <v>407</v>
      </c>
      <c r="P222" s="82">
        <v>44480.1791087963</v>
      </c>
      <c r="Q222" s="80" t="s">
        <v>468</v>
      </c>
      <c r="R222" s="85" t="str">
        <f>HYPERLINK("https://econ.trib.al/w1YeE88")</f>
        <v>https://econ.trib.al/w1YeE88</v>
      </c>
      <c r="S222" s="80" t="s">
        <v>528</v>
      </c>
      <c r="T222" s="80"/>
      <c r="U222" s="80"/>
      <c r="V222" s="85" t="str">
        <f>HYPERLINK("https://pbs.twimg.com/profile_images/1349481526006788098/7jHlAj8V_normal.jpg")</f>
        <v>https://pbs.twimg.com/profile_images/1349481526006788098/7jHlAj8V_normal.jpg</v>
      </c>
      <c r="W222" s="82">
        <v>44480.1791087963</v>
      </c>
      <c r="X222" s="87">
        <v>44480</v>
      </c>
      <c r="Y222" s="83" t="s">
        <v>674</v>
      </c>
      <c r="Z222" s="85" t="str">
        <f>HYPERLINK("https://twitter.com/monluz2/status/1447416146932551683")</f>
        <v>https://twitter.com/monluz2/status/1447416146932551683</v>
      </c>
      <c r="AA222" s="80"/>
      <c r="AB222" s="80"/>
      <c r="AC222" s="83" t="s">
        <v>857</v>
      </c>
      <c r="AD222" s="80"/>
      <c r="AE222" s="80" t="b">
        <v>0</v>
      </c>
      <c r="AF222" s="80">
        <v>0</v>
      </c>
      <c r="AG222" s="83" t="s">
        <v>952</v>
      </c>
      <c r="AH222" s="80" t="b">
        <v>0</v>
      </c>
      <c r="AI222" s="80" t="s">
        <v>967</v>
      </c>
      <c r="AJ222" s="80"/>
      <c r="AK222" s="83" t="s">
        <v>952</v>
      </c>
      <c r="AL222" s="80" t="b">
        <v>0</v>
      </c>
      <c r="AM222" s="80">
        <v>10</v>
      </c>
      <c r="AN222" s="83" t="s">
        <v>896</v>
      </c>
      <c r="AO222" s="83" t="s">
        <v>979</v>
      </c>
      <c r="AP222" s="80" t="b">
        <v>0</v>
      </c>
      <c r="AQ222" s="83" t="s">
        <v>896</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325</v>
      </c>
      <c r="B223" s="65" t="s">
        <v>378</v>
      </c>
      <c r="C223" s="66" t="s">
        <v>2815</v>
      </c>
      <c r="D223" s="67">
        <v>3</v>
      </c>
      <c r="E223" s="66" t="s">
        <v>132</v>
      </c>
      <c r="F223" s="69">
        <v>32</v>
      </c>
      <c r="G223" s="66"/>
      <c r="H223" s="70"/>
      <c r="I223" s="71"/>
      <c r="J223" s="71"/>
      <c r="K223" s="35" t="s">
        <v>65</v>
      </c>
      <c r="L223" s="72">
        <v>223</v>
      </c>
      <c r="M223" s="72"/>
      <c r="N223" s="73"/>
      <c r="O223" s="80" t="s">
        <v>407</v>
      </c>
      <c r="P223" s="82">
        <v>44480.1791087963</v>
      </c>
      <c r="Q223" s="80" t="s">
        <v>468</v>
      </c>
      <c r="R223" s="85" t="str">
        <f>HYPERLINK("https://econ.trib.al/w1YeE88")</f>
        <v>https://econ.trib.al/w1YeE88</v>
      </c>
      <c r="S223" s="80" t="s">
        <v>528</v>
      </c>
      <c r="T223" s="80"/>
      <c r="U223" s="80"/>
      <c r="V223" s="85" t="str">
        <f>HYPERLINK("https://pbs.twimg.com/profile_images/1349481526006788098/7jHlAj8V_normal.jpg")</f>
        <v>https://pbs.twimg.com/profile_images/1349481526006788098/7jHlAj8V_normal.jpg</v>
      </c>
      <c r="W223" s="82">
        <v>44480.1791087963</v>
      </c>
      <c r="X223" s="87">
        <v>44480</v>
      </c>
      <c r="Y223" s="83" t="s">
        <v>674</v>
      </c>
      <c r="Z223" s="85" t="str">
        <f>HYPERLINK("https://twitter.com/monluz2/status/1447416146932551683")</f>
        <v>https://twitter.com/monluz2/status/1447416146932551683</v>
      </c>
      <c r="AA223" s="80"/>
      <c r="AB223" s="80"/>
      <c r="AC223" s="83" t="s">
        <v>857</v>
      </c>
      <c r="AD223" s="80"/>
      <c r="AE223" s="80" t="b">
        <v>0</v>
      </c>
      <c r="AF223" s="80">
        <v>0</v>
      </c>
      <c r="AG223" s="83" t="s">
        <v>952</v>
      </c>
      <c r="AH223" s="80" t="b">
        <v>0</v>
      </c>
      <c r="AI223" s="80" t="s">
        <v>967</v>
      </c>
      <c r="AJ223" s="80"/>
      <c r="AK223" s="83" t="s">
        <v>952</v>
      </c>
      <c r="AL223" s="80" t="b">
        <v>0</v>
      </c>
      <c r="AM223" s="80">
        <v>10</v>
      </c>
      <c r="AN223" s="83" t="s">
        <v>896</v>
      </c>
      <c r="AO223" s="83" t="s">
        <v>979</v>
      </c>
      <c r="AP223" s="80" t="b">
        <v>0</v>
      </c>
      <c r="AQ223" s="83" t="s">
        <v>896</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325</v>
      </c>
      <c r="B224" s="65" t="s">
        <v>342</v>
      </c>
      <c r="C224" s="66" t="s">
        <v>2815</v>
      </c>
      <c r="D224" s="67">
        <v>3</v>
      </c>
      <c r="E224" s="66" t="s">
        <v>132</v>
      </c>
      <c r="F224" s="69">
        <v>32</v>
      </c>
      <c r="G224" s="66"/>
      <c r="H224" s="70"/>
      <c r="I224" s="71"/>
      <c r="J224" s="71"/>
      <c r="K224" s="35" t="s">
        <v>65</v>
      </c>
      <c r="L224" s="72">
        <v>224</v>
      </c>
      <c r="M224" s="72"/>
      <c r="N224" s="73"/>
      <c r="O224" s="80" t="s">
        <v>408</v>
      </c>
      <c r="P224" s="82">
        <v>44480.1791087963</v>
      </c>
      <c r="Q224" s="80" t="s">
        <v>468</v>
      </c>
      <c r="R224" s="85" t="str">
        <f>HYPERLINK("https://econ.trib.al/w1YeE88")</f>
        <v>https://econ.trib.al/w1YeE88</v>
      </c>
      <c r="S224" s="80" t="s">
        <v>528</v>
      </c>
      <c r="T224" s="80"/>
      <c r="U224" s="80"/>
      <c r="V224" s="85" t="str">
        <f>HYPERLINK("https://pbs.twimg.com/profile_images/1349481526006788098/7jHlAj8V_normal.jpg")</f>
        <v>https://pbs.twimg.com/profile_images/1349481526006788098/7jHlAj8V_normal.jpg</v>
      </c>
      <c r="W224" s="82">
        <v>44480.1791087963</v>
      </c>
      <c r="X224" s="87">
        <v>44480</v>
      </c>
      <c r="Y224" s="83" t="s">
        <v>674</v>
      </c>
      <c r="Z224" s="85" t="str">
        <f>HYPERLINK("https://twitter.com/monluz2/status/1447416146932551683")</f>
        <v>https://twitter.com/monluz2/status/1447416146932551683</v>
      </c>
      <c r="AA224" s="80"/>
      <c r="AB224" s="80"/>
      <c r="AC224" s="83" t="s">
        <v>857</v>
      </c>
      <c r="AD224" s="80"/>
      <c r="AE224" s="80" t="b">
        <v>0</v>
      </c>
      <c r="AF224" s="80">
        <v>0</v>
      </c>
      <c r="AG224" s="83" t="s">
        <v>952</v>
      </c>
      <c r="AH224" s="80" t="b">
        <v>0</v>
      </c>
      <c r="AI224" s="80" t="s">
        <v>967</v>
      </c>
      <c r="AJ224" s="80"/>
      <c r="AK224" s="83" t="s">
        <v>952</v>
      </c>
      <c r="AL224" s="80" t="b">
        <v>0</v>
      </c>
      <c r="AM224" s="80">
        <v>10</v>
      </c>
      <c r="AN224" s="83" t="s">
        <v>896</v>
      </c>
      <c r="AO224" s="83" t="s">
        <v>979</v>
      </c>
      <c r="AP224" s="80" t="b">
        <v>0</v>
      </c>
      <c r="AQ224" s="83" t="s">
        <v>896</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34</v>
      </c>
      <c r="BM224" s="50">
        <v>100</v>
      </c>
      <c r="BN224" s="49">
        <v>34</v>
      </c>
    </row>
    <row r="225" spans="1:66" ht="15">
      <c r="A225" s="65" t="s">
        <v>326</v>
      </c>
      <c r="B225" s="65" t="s">
        <v>377</v>
      </c>
      <c r="C225" s="66" t="s">
        <v>2815</v>
      </c>
      <c r="D225" s="67">
        <v>3</v>
      </c>
      <c r="E225" s="66" t="s">
        <v>132</v>
      </c>
      <c r="F225" s="69">
        <v>32</v>
      </c>
      <c r="G225" s="66"/>
      <c r="H225" s="70"/>
      <c r="I225" s="71"/>
      <c r="J225" s="71"/>
      <c r="K225" s="35" t="s">
        <v>65</v>
      </c>
      <c r="L225" s="72">
        <v>225</v>
      </c>
      <c r="M225" s="72"/>
      <c r="N225" s="73"/>
      <c r="O225" s="80" t="s">
        <v>407</v>
      </c>
      <c r="P225" s="82">
        <v>44480.181446759256</v>
      </c>
      <c r="Q225" s="80" t="s">
        <v>468</v>
      </c>
      <c r="R225" s="85" t="str">
        <f>HYPERLINK("https://econ.trib.al/w1YeE88")</f>
        <v>https://econ.trib.al/w1YeE88</v>
      </c>
      <c r="S225" s="80" t="s">
        <v>528</v>
      </c>
      <c r="T225" s="80"/>
      <c r="U225" s="80"/>
      <c r="V225" s="85" t="str">
        <f>HYPERLINK("https://pbs.twimg.com/profile_images/1365150290786181121/VnLvLg_n_normal.jpg")</f>
        <v>https://pbs.twimg.com/profile_images/1365150290786181121/VnLvLg_n_normal.jpg</v>
      </c>
      <c r="W225" s="82">
        <v>44480.181446759256</v>
      </c>
      <c r="X225" s="87">
        <v>44480</v>
      </c>
      <c r="Y225" s="83" t="s">
        <v>675</v>
      </c>
      <c r="Z225" s="85" t="str">
        <f>HYPERLINK("https://twitter.com/shyshoegazer/status/1447416994400071680")</f>
        <v>https://twitter.com/shyshoegazer/status/1447416994400071680</v>
      </c>
      <c r="AA225" s="80"/>
      <c r="AB225" s="80"/>
      <c r="AC225" s="83" t="s">
        <v>858</v>
      </c>
      <c r="AD225" s="80"/>
      <c r="AE225" s="80" t="b">
        <v>0</v>
      </c>
      <c r="AF225" s="80">
        <v>0</v>
      </c>
      <c r="AG225" s="83" t="s">
        <v>952</v>
      </c>
      <c r="AH225" s="80" t="b">
        <v>0</v>
      </c>
      <c r="AI225" s="80" t="s">
        <v>967</v>
      </c>
      <c r="AJ225" s="80"/>
      <c r="AK225" s="83" t="s">
        <v>952</v>
      </c>
      <c r="AL225" s="80" t="b">
        <v>0</v>
      </c>
      <c r="AM225" s="80">
        <v>10</v>
      </c>
      <c r="AN225" s="83" t="s">
        <v>896</v>
      </c>
      <c r="AO225" s="83" t="s">
        <v>976</v>
      </c>
      <c r="AP225" s="80" t="b">
        <v>0</v>
      </c>
      <c r="AQ225" s="83" t="s">
        <v>896</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326</v>
      </c>
      <c r="B226" s="65" t="s">
        <v>331</v>
      </c>
      <c r="C226" s="66" t="s">
        <v>2815</v>
      </c>
      <c r="D226" s="67">
        <v>3</v>
      </c>
      <c r="E226" s="66" t="s">
        <v>132</v>
      </c>
      <c r="F226" s="69">
        <v>32</v>
      </c>
      <c r="G226" s="66"/>
      <c r="H226" s="70"/>
      <c r="I226" s="71"/>
      <c r="J226" s="71"/>
      <c r="K226" s="35" t="s">
        <v>65</v>
      </c>
      <c r="L226" s="72">
        <v>226</v>
      </c>
      <c r="M226" s="72"/>
      <c r="N226" s="73"/>
      <c r="O226" s="80" t="s">
        <v>407</v>
      </c>
      <c r="P226" s="82">
        <v>44480.181446759256</v>
      </c>
      <c r="Q226" s="80" t="s">
        <v>468</v>
      </c>
      <c r="R226" s="85" t="str">
        <f>HYPERLINK("https://econ.trib.al/w1YeE88")</f>
        <v>https://econ.trib.al/w1YeE88</v>
      </c>
      <c r="S226" s="80" t="s">
        <v>528</v>
      </c>
      <c r="T226" s="80"/>
      <c r="U226" s="80"/>
      <c r="V226" s="85" t="str">
        <f>HYPERLINK("https://pbs.twimg.com/profile_images/1365150290786181121/VnLvLg_n_normal.jpg")</f>
        <v>https://pbs.twimg.com/profile_images/1365150290786181121/VnLvLg_n_normal.jpg</v>
      </c>
      <c r="W226" s="82">
        <v>44480.181446759256</v>
      </c>
      <c r="X226" s="87">
        <v>44480</v>
      </c>
      <c r="Y226" s="83" t="s">
        <v>675</v>
      </c>
      <c r="Z226" s="85" t="str">
        <f>HYPERLINK("https://twitter.com/shyshoegazer/status/1447416994400071680")</f>
        <v>https://twitter.com/shyshoegazer/status/1447416994400071680</v>
      </c>
      <c r="AA226" s="80"/>
      <c r="AB226" s="80"/>
      <c r="AC226" s="83" t="s">
        <v>858</v>
      </c>
      <c r="AD226" s="80"/>
      <c r="AE226" s="80" t="b">
        <v>0</v>
      </c>
      <c r="AF226" s="80">
        <v>0</v>
      </c>
      <c r="AG226" s="83" t="s">
        <v>952</v>
      </c>
      <c r="AH226" s="80" t="b">
        <v>0</v>
      </c>
      <c r="AI226" s="80" t="s">
        <v>967</v>
      </c>
      <c r="AJ226" s="80"/>
      <c r="AK226" s="83" t="s">
        <v>952</v>
      </c>
      <c r="AL226" s="80" t="b">
        <v>0</v>
      </c>
      <c r="AM226" s="80">
        <v>10</v>
      </c>
      <c r="AN226" s="83" t="s">
        <v>896</v>
      </c>
      <c r="AO226" s="83" t="s">
        <v>976</v>
      </c>
      <c r="AP226" s="80" t="b">
        <v>0</v>
      </c>
      <c r="AQ226" s="83" t="s">
        <v>896</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326</v>
      </c>
      <c r="B227" s="65" t="s">
        <v>378</v>
      </c>
      <c r="C227" s="66" t="s">
        <v>2815</v>
      </c>
      <c r="D227" s="67">
        <v>3</v>
      </c>
      <c r="E227" s="66" t="s">
        <v>132</v>
      </c>
      <c r="F227" s="69">
        <v>32</v>
      </c>
      <c r="G227" s="66"/>
      <c r="H227" s="70"/>
      <c r="I227" s="71"/>
      <c r="J227" s="71"/>
      <c r="K227" s="35" t="s">
        <v>65</v>
      </c>
      <c r="L227" s="72">
        <v>227</v>
      </c>
      <c r="M227" s="72"/>
      <c r="N227" s="73"/>
      <c r="O227" s="80" t="s">
        <v>407</v>
      </c>
      <c r="P227" s="82">
        <v>44480.181446759256</v>
      </c>
      <c r="Q227" s="80" t="s">
        <v>468</v>
      </c>
      <c r="R227" s="85" t="str">
        <f>HYPERLINK("https://econ.trib.al/w1YeE88")</f>
        <v>https://econ.trib.al/w1YeE88</v>
      </c>
      <c r="S227" s="80" t="s">
        <v>528</v>
      </c>
      <c r="T227" s="80"/>
      <c r="U227" s="80"/>
      <c r="V227" s="85" t="str">
        <f>HYPERLINK("https://pbs.twimg.com/profile_images/1365150290786181121/VnLvLg_n_normal.jpg")</f>
        <v>https://pbs.twimg.com/profile_images/1365150290786181121/VnLvLg_n_normal.jpg</v>
      </c>
      <c r="W227" s="82">
        <v>44480.181446759256</v>
      </c>
      <c r="X227" s="87">
        <v>44480</v>
      </c>
      <c r="Y227" s="83" t="s">
        <v>675</v>
      </c>
      <c r="Z227" s="85" t="str">
        <f>HYPERLINK("https://twitter.com/shyshoegazer/status/1447416994400071680")</f>
        <v>https://twitter.com/shyshoegazer/status/1447416994400071680</v>
      </c>
      <c r="AA227" s="80"/>
      <c r="AB227" s="80"/>
      <c r="AC227" s="83" t="s">
        <v>858</v>
      </c>
      <c r="AD227" s="80"/>
      <c r="AE227" s="80" t="b">
        <v>0</v>
      </c>
      <c r="AF227" s="80">
        <v>0</v>
      </c>
      <c r="AG227" s="83" t="s">
        <v>952</v>
      </c>
      <c r="AH227" s="80" t="b">
        <v>0</v>
      </c>
      <c r="AI227" s="80" t="s">
        <v>967</v>
      </c>
      <c r="AJ227" s="80"/>
      <c r="AK227" s="83" t="s">
        <v>952</v>
      </c>
      <c r="AL227" s="80" t="b">
        <v>0</v>
      </c>
      <c r="AM227" s="80">
        <v>10</v>
      </c>
      <c r="AN227" s="83" t="s">
        <v>896</v>
      </c>
      <c r="AO227" s="83" t="s">
        <v>976</v>
      </c>
      <c r="AP227" s="80" t="b">
        <v>0</v>
      </c>
      <c r="AQ227" s="83" t="s">
        <v>896</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326</v>
      </c>
      <c r="B228" s="65" t="s">
        <v>342</v>
      </c>
      <c r="C228" s="66" t="s">
        <v>2815</v>
      </c>
      <c r="D228" s="67">
        <v>3</v>
      </c>
      <c r="E228" s="66" t="s">
        <v>132</v>
      </c>
      <c r="F228" s="69">
        <v>32</v>
      </c>
      <c r="G228" s="66"/>
      <c r="H228" s="70"/>
      <c r="I228" s="71"/>
      <c r="J228" s="71"/>
      <c r="K228" s="35" t="s">
        <v>65</v>
      </c>
      <c r="L228" s="72">
        <v>228</v>
      </c>
      <c r="M228" s="72"/>
      <c r="N228" s="73"/>
      <c r="O228" s="80" t="s">
        <v>408</v>
      </c>
      <c r="P228" s="82">
        <v>44480.181446759256</v>
      </c>
      <c r="Q228" s="80" t="s">
        <v>468</v>
      </c>
      <c r="R228" s="85" t="str">
        <f>HYPERLINK("https://econ.trib.al/w1YeE88")</f>
        <v>https://econ.trib.al/w1YeE88</v>
      </c>
      <c r="S228" s="80" t="s">
        <v>528</v>
      </c>
      <c r="T228" s="80"/>
      <c r="U228" s="80"/>
      <c r="V228" s="85" t="str">
        <f>HYPERLINK("https://pbs.twimg.com/profile_images/1365150290786181121/VnLvLg_n_normal.jpg")</f>
        <v>https://pbs.twimg.com/profile_images/1365150290786181121/VnLvLg_n_normal.jpg</v>
      </c>
      <c r="W228" s="82">
        <v>44480.181446759256</v>
      </c>
      <c r="X228" s="87">
        <v>44480</v>
      </c>
      <c r="Y228" s="83" t="s">
        <v>675</v>
      </c>
      <c r="Z228" s="85" t="str">
        <f>HYPERLINK("https://twitter.com/shyshoegazer/status/1447416994400071680")</f>
        <v>https://twitter.com/shyshoegazer/status/1447416994400071680</v>
      </c>
      <c r="AA228" s="80"/>
      <c r="AB228" s="80"/>
      <c r="AC228" s="83" t="s">
        <v>858</v>
      </c>
      <c r="AD228" s="80"/>
      <c r="AE228" s="80" t="b">
        <v>0</v>
      </c>
      <c r="AF228" s="80">
        <v>0</v>
      </c>
      <c r="AG228" s="83" t="s">
        <v>952</v>
      </c>
      <c r="AH228" s="80" t="b">
        <v>0</v>
      </c>
      <c r="AI228" s="80" t="s">
        <v>967</v>
      </c>
      <c r="AJ228" s="80"/>
      <c r="AK228" s="83" t="s">
        <v>952</v>
      </c>
      <c r="AL228" s="80" t="b">
        <v>0</v>
      </c>
      <c r="AM228" s="80">
        <v>10</v>
      </c>
      <c r="AN228" s="83" t="s">
        <v>896</v>
      </c>
      <c r="AO228" s="83" t="s">
        <v>976</v>
      </c>
      <c r="AP228" s="80" t="b">
        <v>0</v>
      </c>
      <c r="AQ228" s="83" t="s">
        <v>896</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9">
        <v>0</v>
      </c>
      <c r="BG228" s="50">
        <v>0</v>
      </c>
      <c r="BH228" s="49">
        <v>0</v>
      </c>
      <c r="BI228" s="50">
        <v>0</v>
      </c>
      <c r="BJ228" s="49">
        <v>0</v>
      </c>
      <c r="BK228" s="50">
        <v>0</v>
      </c>
      <c r="BL228" s="49">
        <v>34</v>
      </c>
      <c r="BM228" s="50">
        <v>100</v>
      </c>
      <c r="BN228" s="49">
        <v>34</v>
      </c>
    </row>
    <row r="229" spans="1:66" ht="15">
      <c r="A229" s="65" t="s">
        <v>327</v>
      </c>
      <c r="B229" s="65" t="s">
        <v>377</v>
      </c>
      <c r="C229" s="66" t="s">
        <v>2815</v>
      </c>
      <c r="D229" s="67">
        <v>3</v>
      </c>
      <c r="E229" s="66" t="s">
        <v>132</v>
      </c>
      <c r="F229" s="69">
        <v>32</v>
      </c>
      <c r="G229" s="66"/>
      <c r="H229" s="70"/>
      <c r="I229" s="71"/>
      <c r="J229" s="71"/>
      <c r="K229" s="35" t="s">
        <v>65</v>
      </c>
      <c r="L229" s="72">
        <v>229</v>
      </c>
      <c r="M229" s="72"/>
      <c r="N229" s="73"/>
      <c r="O229" s="80" t="s">
        <v>407</v>
      </c>
      <c r="P229" s="82">
        <v>44480.18824074074</v>
      </c>
      <c r="Q229" s="80" t="s">
        <v>468</v>
      </c>
      <c r="R229" s="85" t="str">
        <f>HYPERLINK("https://econ.trib.al/w1YeE88")</f>
        <v>https://econ.trib.al/w1YeE88</v>
      </c>
      <c r="S229" s="80" t="s">
        <v>528</v>
      </c>
      <c r="T229" s="80"/>
      <c r="U229" s="80"/>
      <c r="V229" s="85" t="str">
        <f>HYPERLINK("https://pbs.twimg.com/profile_images/863231430712672260/weKWY1BH_normal.jpg")</f>
        <v>https://pbs.twimg.com/profile_images/863231430712672260/weKWY1BH_normal.jpg</v>
      </c>
      <c r="W229" s="82">
        <v>44480.18824074074</v>
      </c>
      <c r="X229" s="87">
        <v>44480</v>
      </c>
      <c r="Y229" s="83" t="s">
        <v>676</v>
      </c>
      <c r="Z229" s="85" t="str">
        <f>HYPERLINK("https://twitter.com/dd_jessica_/status/1447419457010237443")</f>
        <v>https://twitter.com/dd_jessica_/status/1447419457010237443</v>
      </c>
      <c r="AA229" s="80"/>
      <c r="AB229" s="80"/>
      <c r="AC229" s="83" t="s">
        <v>859</v>
      </c>
      <c r="AD229" s="80"/>
      <c r="AE229" s="80" t="b">
        <v>0</v>
      </c>
      <c r="AF229" s="80">
        <v>0</v>
      </c>
      <c r="AG229" s="83" t="s">
        <v>952</v>
      </c>
      <c r="AH229" s="80" t="b">
        <v>0</v>
      </c>
      <c r="AI229" s="80" t="s">
        <v>967</v>
      </c>
      <c r="AJ229" s="80"/>
      <c r="AK229" s="83" t="s">
        <v>952</v>
      </c>
      <c r="AL229" s="80" t="b">
        <v>0</v>
      </c>
      <c r="AM229" s="80">
        <v>10</v>
      </c>
      <c r="AN229" s="83" t="s">
        <v>896</v>
      </c>
      <c r="AO229" s="83" t="s">
        <v>976</v>
      </c>
      <c r="AP229" s="80" t="b">
        <v>0</v>
      </c>
      <c r="AQ229" s="83" t="s">
        <v>896</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327</v>
      </c>
      <c r="B230" s="65" t="s">
        <v>331</v>
      </c>
      <c r="C230" s="66" t="s">
        <v>2815</v>
      </c>
      <c r="D230" s="67">
        <v>3</v>
      </c>
      <c r="E230" s="66" t="s">
        <v>132</v>
      </c>
      <c r="F230" s="69">
        <v>32</v>
      </c>
      <c r="G230" s="66"/>
      <c r="H230" s="70"/>
      <c r="I230" s="71"/>
      <c r="J230" s="71"/>
      <c r="K230" s="35" t="s">
        <v>65</v>
      </c>
      <c r="L230" s="72">
        <v>230</v>
      </c>
      <c r="M230" s="72"/>
      <c r="N230" s="73"/>
      <c r="O230" s="80" t="s">
        <v>407</v>
      </c>
      <c r="P230" s="82">
        <v>44480.18824074074</v>
      </c>
      <c r="Q230" s="80" t="s">
        <v>468</v>
      </c>
      <c r="R230" s="85" t="str">
        <f>HYPERLINK("https://econ.trib.al/w1YeE88")</f>
        <v>https://econ.trib.al/w1YeE88</v>
      </c>
      <c r="S230" s="80" t="s">
        <v>528</v>
      </c>
      <c r="T230" s="80"/>
      <c r="U230" s="80"/>
      <c r="V230" s="85" t="str">
        <f>HYPERLINK("https://pbs.twimg.com/profile_images/863231430712672260/weKWY1BH_normal.jpg")</f>
        <v>https://pbs.twimg.com/profile_images/863231430712672260/weKWY1BH_normal.jpg</v>
      </c>
      <c r="W230" s="82">
        <v>44480.18824074074</v>
      </c>
      <c r="X230" s="87">
        <v>44480</v>
      </c>
      <c r="Y230" s="83" t="s">
        <v>676</v>
      </c>
      <c r="Z230" s="85" t="str">
        <f>HYPERLINK("https://twitter.com/dd_jessica_/status/1447419457010237443")</f>
        <v>https://twitter.com/dd_jessica_/status/1447419457010237443</v>
      </c>
      <c r="AA230" s="80"/>
      <c r="AB230" s="80"/>
      <c r="AC230" s="83" t="s">
        <v>859</v>
      </c>
      <c r="AD230" s="80"/>
      <c r="AE230" s="80" t="b">
        <v>0</v>
      </c>
      <c r="AF230" s="80">
        <v>0</v>
      </c>
      <c r="AG230" s="83" t="s">
        <v>952</v>
      </c>
      <c r="AH230" s="80" t="b">
        <v>0</v>
      </c>
      <c r="AI230" s="80" t="s">
        <v>967</v>
      </c>
      <c r="AJ230" s="80"/>
      <c r="AK230" s="83" t="s">
        <v>952</v>
      </c>
      <c r="AL230" s="80" t="b">
        <v>0</v>
      </c>
      <c r="AM230" s="80">
        <v>10</v>
      </c>
      <c r="AN230" s="83" t="s">
        <v>896</v>
      </c>
      <c r="AO230" s="83" t="s">
        <v>976</v>
      </c>
      <c r="AP230" s="80" t="b">
        <v>0</v>
      </c>
      <c r="AQ230" s="83" t="s">
        <v>896</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327</v>
      </c>
      <c r="B231" s="65" t="s">
        <v>378</v>
      </c>
      <c r="C231" s="66" t="s">
        <v>2815</v>
      </c>
      <c r="D231" s="67">
        <v>3</v>
      </c>
      <c r="E231" s="66" t="s">
        <v>132</v>
      </c>
      <c r="F231" s="69">
        <v>32</v>
      </c>
      <c r="G231" s="66"/>
      <c r="H231" s="70"/>
      <c r="I231" s="71"/>
      <c r="J231" s="71"/>
      <c r="K231" s="35" t="s">
        <v>65</v>
      </c>
      <c r="L231" s="72">
        <v>231</v>
      </c>
      <c r="M231" s="72"/>
      <c r="N231" s="73"/>
      <c r="O231" s="80" t="s">
        <v>407</v>
      </c>
      <c r="P231" s="82">
        <v>44480.18824074074</v>
      </c>
      <c r="Q231" s="80" t="s">
        <v>468</v>
      </c>
      <c r="R231" s="85" t="str">
        <f>HYPERLINK("https://econ.trib.al/w1YeE88")</f>
        <v>https://econ.trib.al/w1YeE88</v>
      </c>
      <c r="S231" s="80" t="s">
        <v>528</v>
      </c>
      <c r="T231" s="80"/>
      <c r="U231" s="80"/>
      <c r="V231" s="85" t="str">
        <f>HYPERLINK("https://pbs.twimg.com/profile_images/863231430712672260/weKWY1BH_normal.jpg")</f>
        <v>https://pbs.twimg.com/profile_images/863231430712672260/weKWY1BH_normal.jpg</v>
      </c>
      <c r="W231" s="82">
        <v>44480.18824074074</v>
      </c>
      <c r="X231" s="87">
        <v>44480</v>
      </c>
      <c r="Y231" s="83" t="s">
        <v>676</v>
      </c>
      <c r="Z231" s="85" t="str">
        <f>HYPERLINK("https://twitter.com/dd_jessica_/status/1447419457010237443")</f>
        <v>https://twitter.com/dd_jessica_/status/1447419457010237443</v>
      </c>
      <c r="AA231" s="80"/>
      <c r="AB231" s="80"/>
      <c r="AC231" s="83" t="s">
        <v>859</v>
      </c>
      <c r="AD231" s="80"/>
      <c r="AE231" s="80" t="b">
        <v>0</v>
      </c>
      <c r="AF231" s="80">
        <v>0</v>
      </c>
      <c r="AG231" s="83" t="s">
        <v>952</v>
      </c>
      <c r="AH231" s="80" t="b">
        <v>0</v>
      </c>
      <c r="AI231" s="80" t="s">
        <v>967</v>
      </c>
      <c r="AJ231" s="80"/>
      <c r="AK231" s="83" t="s">
        <v>952</v>
      </c>
      <c r="AL231" s="80" t="b">
        <v>0</v>
      </c>
      <c r="AM231" s="80">
        <v>10</v>
      </c>
      <c r="AN231" s="83" t="s">
        <v>896</v>
      </c>
      <c r="AO231" s="83" t="s">
        <v>976</v>
      </c>
      <c r="AP231" s="80" t="b">
        <v>0</v>
      </c>
      <c r="AQ231" s="83" t="s">
        <v>896</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327</v>
      </c>
      <c r="B232" s="65" t="s">
        <v>342</v>
      </c>
      <c r="C232" s="66" t="s">
        <v>2815</v>
      </c>
      <c r="D232" s="67">
        <v>3</v>
      </c>
      <c r="E232" s="66" t="s">
        <v>132</v>
      </c>
      <c r="F232" s="69">
        <v>32</v>
      </c>
      <c r="G232" s="66"/>
      <c r="H232" s="70"/>
      <c r="I232" s="71"/>
      <c r="J232" s="71"/>
      <c r="K232" s="35" t="s">
        <v>65</v>
      </c>
      <c r="L232" s="72">
        <v>232</v>
      </c>
      <c r="M232" s="72"/>
      <c r="N232" s="73"/>
      <c r="O232" s="80" t="s">
        <v>408</v>
      </c>
      <c r="P232" s="82">
        <v>44480.18824074074</v>
      </c>
      <c r="Q232" s="80" t="s">
        <v>468</v>
      </c>
      <c r="R232" s="85" t="str">
        <f>HYPERLINK("https://econ.trib.al/w1YeE88")</f>
        <v>https://econ.trib.al/w1YeE88</v>
      </c>
      <c r="S232" s="80" t="s">
        <v>528</v>
      </c>
      <c r="T232" s="80"/>
      <c r="U232" s="80"/>
      <c r="V232" s="85" t="str">
        <f>HYPERLINK("https://pbs.twimg.com/profile_images/863231430712672260/weKWY1BH_normal.jpg")</f>
        <v>https://pbs.twimg.com/profile_images/863231430712672260/weKWY1BH_normal.jpg</v>
      </c>
      <c r="W232" s="82">
        <v>44480.18824074074</v>
      </c>
      <c r="X232" s="87">
        <v>44480</v>
      </c>
      <c r="Y232" s="83" t="s">
        <v>676</v>
      </c>
      <c r="Z232" s="85" t="str">
        <f>HYPERLINK("https://twitter.com/dd_jessica_/status/1447419457010237443")</f>
        <v>https://twitter.com/dd_jessica_/status/1447419457010237443</v>
      </c>
      <c r="AA232" s="80"/>
      <c r="AB232" s="80"/>
      <c r="AC232" s="83" t="s">
        <v>859</v>
      </c>
      <c r="AD232" s="80"/>
      <c r="AE232" s="80" t="b">
        <v>0</v>
      </c>
      <c r="AF232" s="80">
        <v>0</v>
      </c>
      <c r="AG232" s="83" t="s">
        <v>952</v>
      </c>
      <c r="AH232" s="80" t="b">
        <v>0</v>
      </c>
      <c r="AI232" s="80" t="s">
        <v>967</v>
      </c>
      <c r="AJ232" s="80"/>
      <c r="AK232" s="83" t="s">
        <v>952</v>
      </c>
      <c r="AL232" s="80" t="b">
        <v>0</v>
      </c>
      <c r="AM232" s="80">
        <v>10</v>
      </c>
      <c r="AN232" s="83" t="s">
        <v>896</v>
      </c>
      <c r="AO232" s="83" t="s">
        <v>976</v>
      </c>
      <c r="AP232" s="80" t="b">
        <v>0</v>
      </c>
      <c r="AQ232" s="83" t="s">
        <v>896</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9">
        <v>0</v>
      </c>
      <c r="BG232" s="50">
        <v>0</v>
      </c>
      <c r="BH232" s="49">
        <v>0</v>
      </c>
      <c r="BI232" s="50">
        <v>0</v>
      </c>
      <c r="BJ232" s="49">
        <v>0</v>
      </c>
      <c r="BK232" s="50">
        <v>0</v>
      </c>
      <c r="BL232" s="49">
        <v>34</v>
      </c>
      <c r="BM232" s="50">
        <v>100</v>
      </c>
      <c r="BN232" s="49">
        <v>34</v>
      </c>
    </row>
    <row r="233" spans="1:66" ht="15">
      <c r="A233" s="65" t="s">
        <v>328</v>
      </c>
      <c r="B233" s="65" t="s">
        <v>328</v>
      </c>
      <c r="C233" s="66" t="s">
        <v>2815</v>
      </c>
      <c r="D233" s="67">
        <v>3</v>
      </c>
      <c r="E233" s="66" t="s">
        <v>132</v>
      </c>
      <c r="F233" s="69">
        <v>32</v>
      </c>
      <c r="G233" s="66"/>
      <c r="H233" s="70"/>
      <c r="I233" s="71"/>
      <c r="J233" s="71"/>
      <c r="K233" s="35" t="s">
        <v>65</v>
      </c>
      <c r="L233" s="72">
        <v>233</v>
      </c>
      <c r="M233" s="72"/>
      <c r="N233" s="73"/>
      <c r="O233" s="80" t="s">
        <v>196</v>
      </c>
      <c r="P233" s="82">
        <v>44478</v>
      </c>
      <c r="Q233" s="80" t="s">
        <v>449</v>
      </c>
      <c r="R233" s="85" t="str">
        <f>HYPERLINK("https://www.greenqueen.com.hk/hong-kong-cell-based-meat-study/?ct=t%28OCT+8+2020+INDUSTRY+SCOOP_COPY_01%29")</f>
        <v>https://www.greenqueen.com.hk/hong-kong-cell-based-meat-study/?ct=t%28OCT+8+2020+INDUSTRY+SCOOP_COPY_01%29</v>
      </c>
      <c r="S233" s="80" t="s">
        <v>525</v>
      </c>
      <c r="T233" s="83" t="s">
        <v>557</v>
      </c>
      <c r="U233" s="85" t="str">
        <f>HYPERLINK("https://pbs.twimg.com/media/FBD5ahCUUAYHMaD.jpg")</f>
        <v>https://pbs.twimg.com/media/FBD5ahCUUAYHMaD.jpg</v>
      </c>
      <c r="V233" s="85" t="str">
        <f>HYPERLINK("https://pbs.twimg.com/media/FBD5ahCUUAYHMaD.jpg")</f>
        <v>https://pbs.twimg.com/media/FBD5ahCUUAYHMaD.jpg</v>
      </c>
      <c r="W233" s="82">
        <v>44478</v>
      </c>
      <c r="X233" s="87">
        <v>44478</v>
      </c>
      <c r="Y233" s="83" t="s">
        <v>677</v>
      </c>
      <c r="Z233" s="85" t="str">
        <f>HYPERLINK("https://twitter.com/earthaccounting/status/1446626461897531393")</f>
        <v>https://twitter.com/earthaccounting/status/1446626461897531393</v>
      </c>
      <c r="AA233" s="80"/>
      <c r="AB233" s="80"/>
      <c r="AC233" s="83" t="s">
        <v>860</v>
      </c>
      <c r="AD233" s="80"/>
      <c r="AE233" s="80" t="b">
        <v>0</v>
      </c>
      <c r="AF233" s="80">
        <v>3</v>
      </c>
      <c r="AG233" s="83" t="s">
        <v>952</v>
      </c>
      <c r="AH233" s="80" t="b">
        <v>0</v>
      </c>
      <c r="AI233" s="80" t="s">
        <v>967</v>
      </c>
      <c r="AJ233" s="80"/>
      <c r="AK233" s="83" t="s">
        <v>952</v>
      </c>
      <c r="AL233" s="80" t="b">
        <v>0</v>
      </c>
      <c r="AM233" s="80">
        <v>3</v>
      </c>
      <c r="AN233" s="83" t="s">
        <v>952</v>
      </c>
      <c r="AO233" s="83" t="s">
        <v>972</v>
      </c>
      <c r="AP233" s="80" t="b">
        <v>0</v>
      </c>
      <c r="AQ233" s="83" t="s">
        <v>860</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12</v>
      </c>
      <c r="BE233" s="79" t="str">
        <f>REPLACE(INDEX(GroupVertices[Group],MATCH(Edges[[#This Row],[Vertex 2]],GroupVertices[Vertex],0)),1,1,"")</f>
        <v>12</v>
      </c>
      <c r="BF233" s="49">
        <v>0</v>
      </c>
      <c r="BG233" s="50">
        <v>0</v>
      </c>
      <c r="BH233" s="49">
        <v>0</v>
      </c>
      <c r="BI233" s="50">
        <v>0</v>
      </c>
      <c r="BJ233" s="49">
        <v>0</v>
      </c>
      <c r="BK233" s="50">
        <v>0</v>
      </c>
      <c r="BL233" s="49">
        <v>12</v>
      </c>
      <c r="BM233" s="50">
        <v>100</v>
      </c>
      <c r="BN233" s="49">
        <v>12</v>
      </c>
    </row>
    <row r="234" spans="1:66" ht="15">
      <c r="A234" s="65" t="s">
        <v>328</v>
      </c>
      <c r="B234" s="65" t="s">
        <v>328</v>
      </c>
      <c r="C234" s="66" t="s">
        <v>2815</v>
      </c>
      <c r="D234" s="67">
        <v>3</v>
      </c>
      <c r="E234" s="66" t="s">
        <v>132</v>
      </c>
      <c r="F234" s="69">
        <v>32</v>
      </c>
      <c r="G234" s="66"/>
      <c r="H234" s="70"/>
      <c r="I234" s="71"/>
      <c r="J234" s="71"/>
      <c r="K234" s="35" t="s">
        <v>65</v>
      </c>
      <c r="L234" s="72">
        <v>234</v>
      </c>
      <c r="M234" s="72"/>
      <c r="N234" s="73"/>
      <c r="O234" s="80" t="s">
        <v>408</v>
      </c>
      <c r="P234" s="82">
        <v>44480.19721064815</v>
      </c>
      <c r="Q234" s="80" t="s">
        <v>449</v>
      </c>
      <c r="R234" s="85" t="str">
        <f>HYPERLINK("https://www.greenqueen.com.hk/hong-kong-cell-based-meat-study/?ct=t%28OCT+8+2020+INDUSTRY+SCOOP_COPY_01%29")</f>
        <v>https://www.greenqueen.com.hk/hong-kong-cell-based-meat-study/?ct=t%28OCT+8+2020+INDUSTRY+SCOOP_COPY_01%29</v>
      </c>
      <c r="S234" s="80" t="s">
        <v>525</v>
      </c>
      <c r="T234" s="83" t="s">
        <v>557</v>
      </c>
      <c r="U234" s="85" t="str">
        <f>HYPERLINK("https://pbs.twimg.com/media/FBD5ahCUUAYHMaD.jpg")</f>
        <v>https://pbs.twimg.com/media/FBD5ahCUUAYHMaD.jpg</v>
      </c>
      <c r="V234" s="85" t="str">
        <f>HYPERLINK("https://pbs.twimg.com/media/FBD5ahCUUAYHMaD.jpg")</f>
        <v>https://pbs.twimg.com/media/FBD5ahCUUAYHMaD.jpg</v>
      </c>
      <c r="W234" s="82">
        <v>44480.19721064815</v>
      </c>
      <c r="X234" s="87">
        <v>44480</v>
      </c>
      <c r="Y234" s="83" t="s">
        <v>678</v>
      </c>
      <c r="Z234" s="85" t="str">
        <f>HYPERLINK("https://twitter.com/earthaccounting/status/1447422704567554051")</f>
        <v>https://twitter.com/earthaccounting/status/1447422704567554051</v>
      </c>
      <c r="AA234" s="80"/>
      <c r="AB234" s="80"/>
      <c r="AC234" s="83" t="s">
        <v>861</v>
      </c>
      <c r="AD234" s="80"/>
      <c r="AE234" s="80" t="b">
        <v>0</v>
      </c>
      <c r="AF234" s="80">
        <v>0</v>
      </c>
      <c r="AG234" s="83" t="s">
        <v>952</v>
      </c>
      <c r="AH234" s="80" t="b">
        <v>0</v>
      </c>
      <c r="AI234" s="80" t="s">
        <v>967</v>
      </c>
      <c r="AJ234" s="80"/>
      <c r="AK234" s="83" t="s">
        <v>952</v>
      </c>
      <c r="AL234" s="80" t="b">
        <v>0</v>
      </c>
      <c r="AM234" s="80">
        <v>3</v>
      </c>
      <c r="AN234" s="83" t="s">
        <v>860</v>
      </c>
      <c r="AO234" s="83" t="s">
        <v>972</v>
      </c>
      <c r="AP234" s="80" t="b">
        <v>0</v>
      </c>
      <c r="AQ234" s="83" t="s">
        <v>860</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12</v>
      </c>
      <c r="BE234" s="79" t="str">
        <f>REPLACE(INDEX(GroupVertices[Group],MATCH(Edges[[#This Row],[Vertex 2]],GroupVertices[Vertex],0)),1,1,"")</f>
        <v>12</v>
      </c>
      <c r="BF234" s="49">
        <v>0</v>
      </c>
      <c r="BG234" s="50">
        <v>0</v>
      </c>
      <c r="BH234" s="49">
        <v>0</v>
      </c>
      <c r="BI234" s="50">
        <v>0</v>
      </c>
      <c r="BJ234" s="49">
        <v>0</v>
      </c>
      <c r="BK234" s="50">
        <v>0</v>
      </c>
      <c r="BL234" s="49">
        <v>12</v>
      </c>
      <c r="BM234" s="50">
        <v>100</v>
      </c>
      <c r="BN234" s="49">
        <v>12</v>
      </c>
    </row>
    <row r="235" spans="1:66" ht="15">
      <c r="A235" s="65" t="s">
        <v>329</v>
      </c>
      <c r="B235" s="65" t="s">
        <v>395</v>
      </c>
      <c r="C235" s="66" t="s">
        <v>2815</v>
      </c>
      <c r="D235" s="67">
        <v>3</v>
      </c>
      <c r="E235" s="66" t="s">
        <v>132</v>
      </c>
      <c r="F235" s="69">
        <v>32</v>
      </c>
      <c r="G235" s="66"/>
      <c r="H235" s="70"/>
      <c r="I235" s="71"/>
      <c r="J235" s="71"/>
      <c r="K235" s="35" t="s">
        <v>65</v>
      </c>
      <c r="L235" s="72">
        <v>235</v>
      </c>
      <c r="M235" s="72"/>
      <c r="N235" s="73"/>
      <c r="O235" s="80" t="s">
        <v>409</v>
      </c>
      <c r="P235" s="82">
        <v>44480.219560185185</v>
      </c>
      <c r="Q235" s="80" t="s">
        <v>469</v>
      </c>
      <c r="R235" s="80" t="s">
        <v>511</v>
      </c>
      <c r="S235" s="80" t="s">
        <v>540</v>
      </c>
      <c r="T235" s="80"/>
      <c r="U235" s="80"/>
      <c r="V235" s="85" t="str">
        <f>HYPERLINK("https://pbs.twimg.com/profile_images/1067102741980487680/tL2beQao_normal.jpg")</f>
        <v>https://pbs.twimg.com/profile_images/1067102741980487680/tL2beQao_normal.jpg</v>
      </c>
      <c r="W235" s="82">
        <v>44480.219560185185</v>
      </c>
      <c r="X235" s="87">
        <v>44480</v>
      </c>
      <c r="Y235" s="83" t="s">
        <v>679</v>
      </c>
      <c r="Z235" s="85" t="str">
        <f>HYPERLINK("https://twitter.com/shiokmeats/status/1447430803269447687")</f>
        <v>https://twitter.com/shiokmeats/status/1447430803269447687</v>
      </c>
      <c r="AA235" s="80"/>
      <c r="AB235" s="80"/>
      <c r="AC235" s="83" t="s">
        <v>862</v>
      </c>
      <c r="AD235" s="83" t="s">
        <v>945</v>
      </c>
      <c r="AE235" s="80" t="b">
        <v>0</v>
      </c>
      <c r="AF235" s="80">
        <v>1</v>
      </c>
      <c r="AG235" s="83" t="s">
        <v>961</v>
      </c>
      <c r="AH235" s="80" t="b">
        <v>0</v>
      </c>
      <c r="AI235" s="80" t="s">
        <v>967</v>
      </c>
      <c r="AJ235" s="80"/>
      <c r="AK235" s="83" t="s">
        <v>952</v>
      </c>
      <c r="AL235" s="80" t="b">
        <v>0</v>
      </c>
      <c r="AM235" s="80">
        <v>0</v>
      </c>
      <c r="AN235" s="83" t="s">
        <v>952</v>
      </c>
      <c r="AO235" s="83" t="s">
        <v>976</v>
      </c>
      <c r="AP235" s="80" t="b">
        <v>0</v>
      </c>
      <c r="AQ235" s="83" t="s">
        <v>945</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3</v>
      </c>
      <c r="BE235" s="79" t="str">
        <f>REPLACE(INDEX(GroupVertices[Group],MATCH(Edges[[#This Row],[Vertex 2]],GroupVertices[Vertex],0)),1,1,"")</f>
        <v>3</v>
      </c>
      <c r="BF235" s="49">
        <v>0</v>
      </c>
      <c r="BG235" s="50">
        <v>0</v>
      </c>
      <c r="BH235" s="49">
        <v>0</v>
      </c>
      <c r="BI235" s="50">
        <v>0</v>
      </c>
      <c r="BJ235" s="49">
        <v>0</v>
      </c>
      <c r="BK235" s="50">
        <v>0</v>
      </c>
      <c r="BL235" s="49">
        <v>13</v>
      </c>
      <c r="BM235" s="50">
        <v>100</v>
      </c>
      <c r="BN235" s="49">
        <v>13</v>
      </c>
    </row>
    <row r="236" spans="1:66" ht="15">
      <c r="A236" s="65" t="s">
        <v>330</v>
      </c>
      <c r="B236" s="65" t="s">
        <v>377</v>
      </c>
      <c r="C236" s="66" t="s">
        <v>2816</v>
      </c>
      <c r="D236" s="67">
        <v>6.5</v>
      </c>
      <c r="E236" s="66" t="s">
        <v>136</v>
      </c>
      <c r="F236" s="69">
        <v>28.75</v>
      </c>
      <c r="G236" s="66"/>
      <c r="H236" s="70"/>
      <c r="I236" s="71"/>
      <c r="J236" s="71"/>
      <c r="K236" s="35" t="s">
        <v>65</v>
      </c>
      <c r="L236" s="72">
        <v>236</v>
      </c>
      <c r="M236" s="72"/>
      <c r="N236" s="73"/>
      <c r="O236" s="80" t="s">
        <v>407</v>
      </c>
      <c r="P236" s="82">
        <v>44476.41689814815</v>
      </c>
      <c r="Q236" s="80" t="s">
        <v>432</v>
      </c>
      <c r="R236" s="85" t="str">
        <f>HYPERLINK("https://econ.trib.al/UuLdSAj")</f>
        <v>https://econ.trib.al/UuLdSAj</v>
      </c>
      <c r="S236" s="80" t="s">
        <v>528</v>
      </c>
      <c r="T236" s="80"/>
      <c r="U236" s="80"/>
      <c r="V236" s="85" t="str">
        <f>HYPERLINK("https://pbs.twimg.com/profile_images/1437693571860099078/rDcmu9i__normal.jpg")</f>
        <v>https://pbs.twimg.com/profile_images/1437693571860099078/rDcmu9i__normal.jpg</v>
      </c>
      <c r="W236" s="82">
        <v>44476.41689814815</v>
      </c>
      <c r="X236" s="87">
        <v>44476</v>
      </c>
      <c r="Y236" s="83" t="s">
        <v>680</v>
      </c>
      <c r="Z236" s="85" t="str">
        <f>HYPERLINK("https://twitter.com/kjgheroman/status/1446052766565101569")</f>
        <v>https://twitter.com/kjgheroman/status/1446052766565101569</v>
      </c>
      <c r="AA236" s="80"/>
      <c r="AB236" s="80"/>
      <c r="AC236" s="83" t="s">
        <v>863</v>
      </c>
      <c r="AD236" s="80"/>
      <c r="AE236" s="80" t="b">
        <v>0</v>
      </c>
      <c r="AF236" s="80">
        <v>0</v>
      </c>
      <c r="AG236" s="83" t="s">
        <v>952</v>
      </c>
      <c r="AH236" s="80" t="b">
        <v>0</v>
      </c>
      <c r="AI236" s="80" t="s">
        <v>967</v>
      </c>
      <c r="AJ236" s="80"/>
      <c r="AK236" s="83" t="s">
        <v>952</v>
      </c>
      <c r="AL236" s="80" t="b">
        <v>0</v>
      </c>
      <c r="AM236" s="80">
        <v>11</v>
      </c>
      <c r="AN236" s="83" t="s">
        <v>894</v>
      </c>
      <c r="AO236" s="83" t="s">
        <v>976</v>
      </c>
      <c r="AP236" s="80" t="b">
        <v>0</v>
      </c>
      <c r="AQ236" s="83" t="s">
        <v>894</v>
      </c>
      <c r="AR236" s="80" t="s">
        <v>196</v>
      </c>
      <c r="AS236" s="80">
        <v>0</v>
      </c>
      <c r="AT236" s="80">
        <v>0</v>
      </c>
      <c r="AU236" s="80"/>
      <c r="AV236" s="80"/>
      <c r="AW236" s="80"/>
      <c r="AX236" s="80"/>
      <c r="AY236" s="80"/>
      <c r="AZ236" s="80"/>
      <c r="BA236" s="80"/>
      <c r="BB236" s="80"/>
      <c r="BC236">
        <v>2</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330</v>
      </c>
      <c r="B237" s="65" t="s">
        <v>331</v>
      </c>
      <c r="C237" s="66" t="s">
        <v>2816</v>
      </c>
      <c r="D237" s="67">
        <v>6.5</v>
      </c>
      <c r="E237" s="66" t="s">
        <v>136</v>
      </c>
      <c r="F237" s="69">
        <v>28.75</v>
      </c>
      <c r="G237" s="66"/>
      <c r="H237" s="70"/>
      <c r="I237" s="71"/>
      <c r="J237" s="71"/>
      <c r="K237" s="35" t="s">
        <v>65</v>
      </c>
      <c r="L237" s="72">
        <v>237</v>
      </c>
      <c r="M237" s="72"/>
      <c r="N237" s="73"/>
      <c r="O237" s="80" t="s">
        <v>407</v>
      </c>
      <c r="P237" s="82">
        <v>44476.41689814815</v>
      </c>
      <c r="Q237" s="80" t="s">
        <v>432</v>
      </c>
      <c r="R237" s="85" t="str">
        <f>HYPERLINK("https://econ.trib.al/UuLdSAj")</f>
        <v>https://econ.trib.al/UuLdSAj</v>
      </c>
      <c r="S237" s="80" t="s">
        <v>528</v>
      </c>
      <c r="T237" s="80"/>
      <c r="U237" s="80"/>
      <c r="V237" s="85" t="str">
        <f>HYPERLINK("https://pbs.twimg.com/profile_images/1437693571860099078/rDcmu9i__normal.jpg")</f>
        <v>https://pbs.twimg.com/profile_images/1437693571860099078/rDcmu9i__normal.jpg</v>
      </c>
      <c r="W237" s="82">
        <v>44476.41689814815</v>
      </c>
      <c r="X237" s="87">
        <v>44476</v>
      </c>
      <c r="Y237" s="83" t="s">
        <v>680</v>
      </c>
      <c r="Z237" s="85" t="str">
        <f>HYPERLINK("https://twitter.com/kjgheroman/status/1446052766565101569")</f>
        <v>https://twitter.com/kjgheroman/status/1446052766565101569</v>
      </c>
      <c r="AA237" s="80"/>
      <c r="AB237" s="80"/>
      <c r="AC237" s="83" t="s">
        <v>863</v>
      </c>
      <c r="AD237" s="80"/>
      <c r="AE237" s="80" t="b">
        <v>0</v>
      </c>
      <c r="AF237" s="80">
        <v>0</v>
      </c>
      <c r="AG237" s="83" t="s">
        <v>952</v>
      </c>
      <c r="AH237" s="80" t="b">
        <v>0</v>
      </c>
      <c r="AI237" s="80" t="s">
        <v>967</v>
      </c>
      <c r="AJ237" s="80"/>
      <c r="AK237" s="83" t="s">
        <v>952</v>
      </c>
      <c r="AL237" s="80" t="b">
        <v>0</v>
      </c>
      <c r="AM237" s="80">
        <v>11</v>
      </c>
      <c r="AN237" s="83" t="s">
        <v>894</v>
      </c>
      <c r="AO237" s="83" t="s">
        <v>976</v>
      </c>
      <c r="AP237" s="80" t="b">
        <v>0</v>
      </c>
      <c r="AQ237" s="83" t="s">
        <v>894</v>
      </c>
      <c r="AR237" s="80" t="s">
        <v>196</v>
      </c>
      <c r="AS237" s="80">
        <v>0</v>
      </c>
      <c r="AT237" s="80">
        <v>0</v>
      </c>
      <c r="AU237" s="80"/>
      <c r="AV237" s="80"/>
      <c r="AW237" s="80"/>
      <c r="AX237" s="80"/>
      <c r="AY237" s="80"/>
      <c r="AZ237" s="80"/>
      <c r="BA237" s="80"/>
      <c r="BB237" s="80"/>
      <c r="BC237">
        <v>2</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330</v>
      </c>
      <c r="B238" s="65" t="s">
        <v>378</v>
      </c>
      <c r="C238" s="66" t="s">
        <v>2816</v>
      </c>
      <c r="D238" s="67">
        <v>6.5</v>
      </c>
      <c r="E238" s="66" t="s">
        <v>136</v>
      </c>
      <c r="F238" s="69">
        <v>28.75</v>
      </c>
      <c r="G238" s="66"/>
      <c r="H238" s="70"/>
      <c r="I238" s="71"/>
      <c r="J238" s="71"/>
      <c r="K238" s="35" t="s">
        <v>65</v>
      </c>
      <c r="L238" s="72">
        <v>238</v>
      </c>
      <c r="M238" s="72"/>
      <c r="N238" s="73"/>
      <c r="O238" s="80" t="s">
        <v>407</v>
      </c>
      <c r="P238" s="82">
        <v>44476.41689814815</v>
      </c>
      <c r="Q238" s="80" t="s">
        <v>432</v>
      </c>
      <c r="R238" s="85" t="str">
        <f>HYPERLINK("https://econ.trib.al/UuLdSAj")</f>
        <v>https://econ.trib.al/UuLdSAj</v>
      </c>
      <c r="S238" s="80" t="s">
        <v>528</v>
      </c>
      <c r="T238" s="80"/>
      <c r="U238" s="80"/>
      <c r="V238" s="85" t="str">
        <f>HYPERLINK("https://pbs.twimg.com/profile_images/1437693571860099078/rDcmu9i__normal.jpg")</f>
        <v>https://pbs.twimg.com/profile_images/1437693571860099078/rDcmu9i__normal.jpg</v>
      </c>
      <c r="W238" s="82">
        <v>44476.41689814815</v>
      </c>
      <c r="X238" s="87">
        <v>44476</v>
      </c>
      <c r="Y238" s="83" t="s">
        <v>680</v>
      </c>
      <c r="Z238" s="85" t="str">
        <f>HYPERLINK("https://twitter.com/kjgheroman/status/1446052766565101569")</f>
        <v>https://twitter.com/kjgheroman/status/1446052766565101569</v>
      </c>
      <c r="AA238" s="80"/>
      <c r="AB238" s="80"/>
      <c r="AC238" s="83" t="s">
        <v>863</v>
      </c>
      <c r="AD238" s="80"/>
      <c r="AE238" s="80" t="b">
        <v>0</v>
      </c>
      <c r="AF238" s="80">
        <v>0</v>
      </c>
      <c r="AG238" s="83" t="s">
        <v>952</v>
      </c>
      <c r="AH238" s="80" t="b">
        <v>0</v>
      </c>
      <c r="AI238" s="80" t="s">
        <v>967</v>
      </c>
      <c r="AJ238" s="80"/>
      <c r="AK238" s="83" t="s">
        <v>952</v>
      </c>
      <c r="AL238" s="80" t="b">
        <v>0</v>
      </c>
      <c r="AM238" s="80">
        <v>11</v>
      </c>
      <c r="AN238" s="83" t="s">
        <v>894</v>
      </c>
      <c r="AO238" s="83" t="s">
        <v>976</v>
      </c>
      <c r="AP238" s="80" t="b">
        <v>0</v>
      </c>
      <c r="AQ238" s="83" t="s">
        <v>894</v>
      </c>
      <c r="AR238" s="80" t="s">
        <v>196</v>
      </c>
      <c r="AS238" s="80">
        <v>0</v>
      </c>
      <c r="AT238" s="80">
        <v>0</v>
      </c>
      <c r="AU238" s="80"/>
      <c r="AV238" s="80"/>
      <c r="AW238" s="80"/>
      <c r="AX238" s="80"/>
      <c r="AY238" s="80"/>
      <c r="AZ238" s="80"/>
      <c r="BA238" s="80"/>
      <c r="BB238" s="80"/>
      <c r="BC238">
        <v>2</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330</v>
      </c>
      <c r="B239" s="65" t="s">
        <v>342</v>
      </c>
      <c r="C239" s="66" t="s">
        <v>2816</v>
      </c>
      <c r="D239" s="67">
        <v>6.5</v>
      </c>
      <c r="E239" s="66" t="s">
        <v>136</v>
      </c>
      <c r="F239" s="69">
        <v>28.75</v>
      </c>
      <c r="G239" s="66"/>
      <c r="H239" s="70"/>
      <c r="I239" s="71"/>
      <c r="J239" s="71"/>
      <c r="K239" s="35" t="s">
        <v>65</v>
      </c>
      <c r="L239" s="72">
        <v>239</v>
      </c>
      <c r="M239" s="72"/>
      <c r="N239" s="73"/>
      <c r="O239" s="80" t="s">
        <v>408</v>
      </c>
      <c r="P239" s="82">
        <v>44476.41689814815</v>
      </c>
      <c r="Q239" s="80" t="s">
        <v>432</v>
      </c>
      <c r="R239" s="85" t="str">
        <f>HYPERLINK("https://econ.trib.al/UuLdSAj")</f>
        <v>https://econ.trib.al/UuLdSAj</v>
      </c>
      <c r="S239" s="80" t="s">
        <v>528</v>
      </c>
      <c r="T239" s="80"/>
      <c r="U239" s="80"/>
      <c r="V239" s="85" t="str">
        <f>HYPERLINK("https://pbs.twimg.com/profile_images/1437693571860099078/rDcmu9i__normal.jpg")</f>
        <v>https://pbs.twimg.com/profile_images/1437693571860099078/rDcmu9i__normal.jpg</v>
      </c>
      <c r="W239" s="82">
        <v>44476.41689814815</v>
      </c>
      <c r="X239" s="87">
        <v>44476</v>
      </c>
      <c r="Y239" s="83" t="s">
        <v>680</v>
      </c>
      <c r="Z239" s="85" t="str">
        <f>HYPERLINK("https://twitter.com/kjgheroman/status/1446052766565101569")</f>
        <v>https://twitter.com/kjgheroman/status/1446052766565101569</v>
      </c>
      <c r="AA239" s="80"/>
      <c r="AB239" s="80"/>
      <c r="AC239" s="83" t="s">
        <v>863</v>
      </c>
      <c r="AD239" s="80"/>
      <c r="AE239" s="80" t="b">
        <v>0</v>
      </c>
      <c r="AF239" s="80">
        <v>0</v>
      </c>
      <c r="AG239" s="83" t="s">
        <v>952</v>
      </c>
      <c r="AH239" s="80" t="b">
        <v>0</v>
      </c>
      <c r="AI239" s="80" t="s">
        <v>967</v>
      </c>
      <c r="AJ239" s="80"/>
      <c r="AK239" s="83" t="s">
        <v>952</v>
      </c>
      <c r="AL239" s="80" t="b">
        <v>0</v>
      </c>
      <c r="AM239" s="80">
        <v>11</v>
      </c>
      <c r="AN239" s="83" t="s">
        <v>894</v>
      </c>
      <c r="AO239" s="83" t="s">
        <v>976</v>
      </c>
      <c r="AP239" s="80" t="b">
        <v>0</v>
      </c>
      <c r="AQ239" s="83" t="s">
        <v>894</v>
      </c>
      <c r="AR239" s="80" t="s">
        <v>196</v>
      </c>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9">
        <v>0</v>
      </c>
      <c r="BG239" s="50">
        <v>0</v>
      </c>
      <c r="BH239" s="49">
        <v>0</v>
      </c>
      <c r="BI239" s="50">
        <v>0</v>
      </c>
      <c r="BJ239" s="49">
        <v>0</v>
      </c>
      <c r="BK239" s="50">
        <v>0</v>
      </c>
      <c r="BL239" s="49">
        <v>34</v>
      </c>
      <c r="BM239" s="50">
        <v>100</v>
      </c>
      <c r="BN239" s="49">
        <v>34</v>
      </c>
    </row>
    <row r="240" spans="1:66" ht="15">
      <c r="A240" s="65" t="s">
        <v>330</v>
      </c>
      <c r="B240" s="65" t="s">
        <v>377</v>
      </c>
      <c r="C240" s="66" t="s">
        <v>2816</v>
      </c>
      <c r="D240" s="67">
        <v>6.5</v>
      </c>
      <c r="E240" s="66" t="s">
        <v>136</v>
      </c>
      <c r="F240" s="69">
        <v>28.75</v>
      </c>
      <c r="G240" s="66"/>
      <c r="H240" s="70"/>
      <c r="I240" s="71"/>
      <c r="J240" s="71"/>
      <c r="K240" s="35" t="s">
        <v>65</v>
      </c>
      <c r="L240" s="72">
        <v>240</v>
      </c>
      <c r="M240" s="72"/>
      <c r="N240" s="73"/>
      <c r="O240" s="80" t="s">
        <v>407</v>
      </c>
      <c r="P240" s="82">
        <v>44480.3340625</v>
      </c>
      <c r="Q240" s="80" t="s">
        <v>468</v>
      </c>
      <c r="R240" s="85" t="str">
        <f>HYPERLINK("https://econ.trib.al/w1YeE88")</f>
        <v>https://econ.trib.al/w1YeE88</v>
      </c>
      <c r="S240" s="80" t="s">
        <v>528</v>
      </c>
      <c r="T240" s="80"/>
      <c r="U240" s="80"/>
      <c r="V240" s="85" t="str">
        <f>HYPERLINK("https://pbs.twimg.com/profile_images/1437693571860099078/rDcmu9i__normal.jpg")</f>
        <v>https://pbs.twimg.com/profile_images/1437693571860099078/rDcmu9i__normal.jpg</v>
      </c>
      <c r="W240" s="82">
        <v>44480.3340625</v>
      </c>
      <c r="X240" s="87">
        <v>44480</v>
      </c>
      <c r="Y240" s="83" t="s">
        <v>681</v>
      </c>
      <c r="Z240" s="85" t="str">
        <f>HYPERLINK("https://twitter.com/kjgheroman/status/1447472299834101760")</f>
        <v>https://twitter.com/kjgheroman/status/1447472299834101760</v>
      </c>
      <c r="AA240" s="80"/>
      <c r="AB240" s="80"/>
      <c r="AC240" s="83" t="s">
        <v>864</v>
      </c>
      <c r="AD240" s="80"/>
      <c r="AE240" s="80" t="b">
        <v>0</v>
      </c>
      <c r="AF240" s="80">
        <v>0</v>
      </c>
      <c r="AG240" s="83" t="s">
        <v>952</v>
      </c>
      <c r="AH240" s="80" t="b">
        <v>0</v>
      </c>
      <c r="AI240" s="80" t="s">
        <v>967</v>
      </c>
      <c r="AJ240" s="80"/>
      <c r="AK240" s="83" t="s">
        <v>952</v>
      </c>
      <c r="AL240" s="80" t="b">
        <v>0</v>
      </c>
      <c r="AM240" s="80">
        <v>10</v>
      </c>
      <c r="AN240" s="83" t="s">
        <v>896</v>
      </c>
      <c r="AO240" s="83" t="s">
        <v>976</v>
      </c>
      <c r="AP240" s="80" t="b">
        <v>0</v>
      </c>
      <c r="AQ240" s="83" t="s">
        <v>896</v>
      </c>
      <c r="AR240" s="80" t="s">
        <v>196</v>
      </c>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330</v>
      </c>
      <c r="B241" s="65" t="s">
        <v>331</v>
      </c>
      <c r="C241" s="66" t="s">
        <v>2816</v>
      </c>
      <c r="D241" s="67">
        <v>6.5</v>
      </c>
      <c r="E241" s="66" t="s">
        <v>136</v>
      </c>
      <c r="F241" s="69">
        <v>28.75</v>
      </c>
      <c r="G241" s="66"/>
      <c r="H241" s="70"/>
      <c r="I241" s="71"/>
      <c r="J241" s="71"/>
      <c r="K241" s="35" t="s">
        <v>65</v>
      </c>
      <c r="L241" s="72">
        <v>241</v>
      </c>
      <c r="M241" s="72"/>
      <c r="N241" s="73"/>
      <c r="O241" s="80" t="s">
        <v>407</v>
      </c>
      <c r="P241" s="82">
        <v>44480.3340625</v>
      </c>
      <c r="Q241" s="80" t="s">
        <v>468</v>
      </c>
      <c r="R241" s="85" t="str">
        <f>HYPERLINK("https://econ.trib.al/w1YeE88")</f>
        <v>https://econ.trib.al/w1YeE88</v>
      </c>
      <c r="S241" s="80" t="s">
        <v>528</v>
      </c>
      <c r="T241" s="80"/>
      <c r="U241" s="80"/>
      <c r="V241" s="85" t="str">
        <f>HYPERLINK("https://pbs.twimg.com/profile_images/1437693571860099078/rDcmu9i__normal.jpg")</f>
        <v>https://pbs.twimg.com/profile_images/1437693571860099078/rDcmu9i__normal.jpg</v>
      </c>
      <c r="W241" s="82">
        <v>44480.3340625</v>
      </c>
      <c r="X241" s="87">
        <v>44480</v>
      </c>
      <c r="Y241" s="83" t="s">
        <v>681</v>
      </c>
      <c r="Z241" s="85" t="str">
        <f>HYPERLINK("https://twitter.com/kjgheroman/status/1447472299834101760")</f>
        <v>https://twitter.com/kjgheroman/status/1447472299834101760</v>
      </c>
      <c r="AA241" s="80"/>
      <c r="AB241" s="80"/>
      <c r="AC241" s="83" t="s">
        <v>864</v>
      </c>
      <c r="AD241" s="80"/>
      <c r="AE241" s="80" t="b">
        <v>0</v>
      </c>
      <c r="AF241" s="80">
        <v>0</v>
      </c>
      <c r="AG241" s="83" t="s">
        <v>952</v>
      </c>
      <c r="AH241" s="80" t="b">
        <v>0</v>
      </c>
      <c r="AI241" s="80" t="s">
        <v>967</v>
      </c>
      <c r="AJ241" s="80"/>
      <c r="AK241" s="83" t="s">
        <v>952</v>
      </c>
      <c r="AL241" s="80" t="b">
        <v>0</v>
      </c>
      <c r="AM241" s="80">
        <v>10</v>
      </c>
      <c r="AN241" s="83" t="s">
        <v>896</v>
      </c>
      <c r="AO241" s="83" t="s">
        <v>976</v>
      </c>
      <c r="AP241" s="80" t="b">
        <v>0</v>
      </c>
      <c r="AQ241" s="83" t="s">
        <v>896</v>
      </c>
      <c r="AR241" s="80" t="s">
        <v>196</v>
      </c>
      <c r="AS241" s="80">
        <v>0</v>
      </c>
      <c r="AT241" s="80">
        <v>0</v>
      </c>
      <c r="AU241" s="80"/>
      <c r="AV241" s="80"/>
      <c r="AW241" s="80"/>
      <c r="AX241" s="80"/>
      <c r="AY241" s="80"/>
      <c r="AZ241" s="80"/>
      <c r="BA241" s="80"/>
      <c r="BB241" s="80"/>
      <c r="BC241">
        <v>2</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330</v>
      </c>
      <c r="B242" s="65" t="s">
        <v>378</v>
      </c>
      <c r="C242" s="66" t="s">
        <v>2816</v>
      </c>
      <c r="D242" s="67">
        <v>6.5</v>
      </c>
      <c r="E242" s="66" t="s">
        <v>136</v>
      </c>
      <c r="F242" s="69">
        <v>28.75</v>
      </c>
      <c r="G242" s="66"/>
      <c r="H242" s="70"/>
      <c r="I242" s="71"/>
      <c r="J242" s="71"/>
      <c r="K242" s="35" t="s">
        <v>65</v>
      </c>
      <c r="L242" s="72">
        <v>242</v>
      </c>
      <c r="M242" s="72"/>
      <c r="N242" s="73"/>
      <c r="O242" s="80" t="s">
        <v>407</v>
      </c>
      <c r="P242" s="82">
        <v>44480.3340625</v>
      </c>
      <c r="Q242" s="80" t="s">
        <v>468</v>
      </c>
      <c r="R242" s="85" t="str">
        <f>HYPERLINK("https://econ.trib.al/w1YeE88")</f>
        <v>https://econ.trib.al/w1YeE88</v>
      </c>
      <c r="S242" s="80" t="s">
        <v>528</v>
      </c>
      <c r="T242" s="80"/>
      <c r="U242" s="80"/>
      <c r="V242" s="85" t="str">
        <f>HYPERLINK("https://pbs.twimg.com/profile_images/1437693571860099078/rDcmu9i__normal.jpg")</f>
        <v>https://pbs.twimg.com/profile_images/1437693571860099078/rDcmu9i__normal.jpg</v>
      </c>
      <c r="W242" s="82">
        <v>44480.3340625</v>
      </c>
      <c r="X242" s="87">
        <v>44480</v>
      </c>
      <c r="Y242" s="83" t="s">
        <v>681</v>
      </c>
      <c r="Z242" s="85" t="str">
        <f>HYPERLINK("https://twitter.com/kjgheroman/status/1447472299834101760")</f>
        <v>https://twitter.com/kjgheroman/status/1447472299834101760</v>
      </c>
      <c r="AA242" s="80"/>
      <c r="AB242" s="80"/>
      <c r="AC242" s="83" t="s">
        <v>864</v>
      </c>
      <c r="AD242" s="80"/>
      <c r="AE242" s="80" t="b">
        <v>0</v>
      </c>
      <c r="AF242" s="80">
        <v>0</v>
      </c>
      <c r="AG242" s="83" t="s">
        <v>952</v>
      </c>
      <c r="AH242" s="80" t="b">
        <v>0</v>
      </c>
      <c r="AI242" s="80" t="s">
        <v>967</v>
      </c>
      <c r="AJ242" s="80"/>
      <c r="AK242" s="83" t="s">
        <v>952</v>
      </c>
      <c r="AL242" s="80" t="b">
        <v>0</v>
      </c>
      <c r="AM242" s="80">
        <v>10</v>
      </c>
      <c r="AN242" s="83" t="s">
        <v>896</v>
      </c>
      <c r="AO242" s="83" t="s">
        <v>976</v>
      </c>
      <c r="AP242" s="80" t="b">
        <v>0</v>
      </c>
      <c r="AQ242" s="83" t="s">
        <v>896</v>
      </c>
      <c r="AR242" s="80" t="s">
        <v>196</v>
      </c>
      <c r="AS242" s="80">
        <v>0</v>
      </c>
      <c r="AT242" s="80">
        <v>0</v>
      </c>
      <c r="AU242" s="80"/>
      <c r="AV242" s="80"/>
      <c r="AW242" s="80"/>
      <c r="AX242" s="80"/>
      <c r="AY242" s="80"/>
      <c r="AZ242" s="80"/>
      <c r="BA242" s="80"/>
      <c r="BB242" s="80"/>
      <c r="BC242">
        <v>2</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330</v>
      </c>
      <c r="B243" s="65" t="s">
        <v>342</v>
      </c>
      <c r="C243" s="66" t="s">
        <v>2816</v>
      </c>
      <c r="D243" s="67">
        <v>6.5</v>
      </c>
      <c r="E243" s="66" t="s">
        <v>136</v>
      </c>
      <c r="F243" s="69">
        <v>28.75</v>
      </c>
      <c r="G243" s="66"/>
      <c r="H243" s="70"/>
      <c r="I243" s="71"/>
      <c r="J243" s="71"/>
      <c r="K243" s="35" t="s">
        <v>65</v>
      </c>
      <c r="L243" s="72">
        <v>243</v>
      </c>
      <c r="M243" s="72"/>
      <c r="N243" s="73"/>
      <c r="O243" s="80" t="s">
        <v>408</v>
      </c>
      <c r="P243" s="82">
        <v>44480.3340625</v>
      </c>
      <c r="Q243" s="80" t="s">
        <v>468</v>
      </c>
      <c r="R243" s="85" t="str">
        <f>HYPERLINK("https://econ.trib.al/w1YeE88")</f>
        <v>https://econ.trib.al/w1YeE88</v>
      </c>
      <c r="S243" s="80" t="s">
        <v>528</v>
      </c>
      <c r="T243" s="80"/>
      <c r="U243" s="80"/>
      <c r="V243" s="85" t="str">
        <f>HYPERLINK("https://pbs.twimg.com/profile_images/1437693571860099078/rDcmu9i__normal.jpg")</f>
        <v>https://pbs.twimg.com/profile_images/1437693571860099078/rDcmu9i__normal.jpg</v>
      </c>
      <c r="W243" s="82">
        <v>44480.3340625</v>
      </c>
      <c r="X243" s="87">
        <v>44480</v>
      </c>
      <c r="Y243" s="83" t="s">
        <v>681</v>
      </c>
      <c r="Z243" s="85" t="str">
        <f>HYPERLINK("https://twitter.com/kjgheroman/status/1447472299834101760")</f>
        <v>https://twitter.com/kjgheroman/status/1447472299834101760</v>
      </c>
      <c r="AA243" s="80"/>
      <c r="AB243" s="80"/>
      <c r="AC243" s="83" t="s">
        <v>864</v>
      </c>
      <c r="AD243" s="80"/>
      <c r="AE243" s="80" t="b">
        <v>0</v>
      </c>
      <c r="AF243" s="80">
        <v>0</v>
      </c>
      <c r="AG243" s="83" t="s">
        <v>952</v>
      </c>
      <c r="AH243" s="80" t="b">
        <v>0</v>
      </c>
      <c r="AI243" s="80" t="s">
        <v>967</v>
      </c>
      <c r="AJ243" s="80"/>
      <c r="AK243" s="83" t="s">
        <v>952</v>
      </c>
      <c r="AL243" s="80" t="b">
        <v>0</v>
      </c>
      <c r="AM243" s="80">
        <v>10</v>
      </c>
      <c r="AN243" s="83" t="s">
        <v>896</v>
      </c>
      <c r="AO243" s="83" t="s">
        <v>976</v>
      </c>
      <c r="AP243" s="80" t="b">
        <v>0</v>
      </c>
      <c r="AQ243" s="83" t="s">
        <v>896</v>
      </c>
      <c r="AR243" s="80" t="s">
        <v>196</v>
      </c>
      <c r="AS243" s="80">
        <v>0</v>
      </c>
      <c r="AT243" s="80">
        <v>0</v>
      </c>
      <c r="AU243" s="80"/>
      <c r="AV243" s="80"/>
      <c r="AW243" s="80"/>
      <c r="AX243" s="80"/>
      <c r="AY243" s="80"/>
      <c r="AZ243" s="80"/>
      <c r="BA243" s="80"/>
      <c r="BB243" s="80"/>
      <c r="BC243">
        <v>2</v>
      </c>
      <c r="BD243" s="79" t="str">
        <f>REPLACE(INDEX(GroupVertices[Group],MATCH(Edges[[#This Row],[Vertex 1]],GroupVertices[Vertex],0)),1,1,"")</f>
        <v>1</v>
      </c>
      <c r="BE243" s="79" t="str">
        <f>REPLACE(INDEX(GroupVertices[Group],MATCH(Edges[[#This Row],[Vertex 2]],GroupVertices[Vertex],0)),1,1,"")</f>
        <v>1</v>
      </c>
      <c r="BF243" s="49">
        <v>0</v>
      </c>
      <c r="BG243" s="50">
        <v>0</v>
      </c>
      <c r="BH243" s="49">
        <v>0</v>
      </c>
      <c r="BI243" s="50">
        <v>0</v>
      </c>
      <c r="BJ243" s="49">
        <v>0</v>
      </c>
      <c r="BK243" s="50">
        <v>0</v>
      </c>
      <c r="BL243" s="49">
        <v>34</v>
      </c>
      <c r="BM243" s="50">
        <v>100</v>
      </c>
      <c r="BN243" s="49">
        <v>34</v>
      </c>
    </row>
    <row r="244" spans="1:66" ht="15">
      <c r="A244" s="65" t="s">
        <v>331</v>
      </c>
      <c r="B244" s="65" t="s">
        <v>332</v>
      </c>
      <c r="C244" s="66" t="s">
        <v>2815</v>
      </c>
      <c r="D244" s="67">
        <v>3</v>
      </c>
      <c r="E244" s="66" t="s">
        <v>132</v>
      </c>
      <c r="F244" s="69">
        <v>32</v>
      </c>
      <c r="G244" s="66"/>
      <c r="H244" s="70"/>
      <c r="I244" s="71"/>
      <c r="J244" s="71"/>
      <c r="K244" s="35" t="s">
        <v>66</v>
      </c>
      <c r="L244" s="72">
        <v>244</v>
      </c>
      <c r="M244" s="72"/>
      <c r="N244" s="73"/>
      <c r="O244" s="80" t="s">
        <v>408</v>
      </c>
      <c r="P244" s="82">
        <v>44477.46878472222</v>
      </c>
      <c r="Q244" s="80" t="s">
        <v>470</v>
      </c>
      <c r="R244" s="85" t="str">
        <f>HYPERLINK("https://econ.trib.al/AoNqILv")</f>
        <v>https://econ.trib.al/AoNqILv</v>
      </c>
      <c r="S244" s="80" t="s">
        <v>528</v>
      </c>
      <c r="T244" s="80"/>
      <c r="U244" s="80"/>
      <c r="V244" s="85" t="str">
        <f>HYPERLINK("https://pbs.twimg.com/profile_images/1413053667930951680/NpQOcSDf_normal.jpg")</f>
        <v>https://pbs.twimg.com/profile_images/1413053667930951680/NpQOcSDf_normal.jpg</v>
      </c>
      <c r="W244" s="82">
        <v>44477.46878472222</v>
      </c>
      <c r="X244" s="87">
        <v>44477</v>
      </c>
      <c r="Y244" s="83" t="s">
        <v>682</v>
      </c>
      <c r="Z244" s="85" t="str">
        <f>HYPERLINK("https://twitter.com/grownunder/status/1446433955465646114")</f>
        <v>https://twitter.com/grownunder/status/1446433955465646114</v>
      </c>
      <c r="AA244" s="80"/>
      <c r="AB244" s="80"/>
      <c r="AC244" s="83" t="s">
        <v>865</v>
      </c>
      <c r="AD244" s="80"/>
      <c r="AE244" s="80" t="b">
        <v>0</v>
      </c>
      <c r="AF244" s="80">
        <v>0</v>
      </c>
      <c r="AG244" s="83" t="s">
        <v>952</v>
      </c>
      <c r="AH244" s="80" t="b">
        <v>0</v>
      </c>
      <c r="AI244" s="80" t="s">
        <v>967</v>
      </c>
      <c r="AJ244" s="80"/>
      <c r="AK244" s="83" t="s">
        <v>952</v>
      </c>
      <c r="AL244" s="80" t="b">
        <v>0</v>
      </c>
      <c r="AM244" s="80">
        <v>2</v>
      </c>
      <c r="AN244" s="83" t="s">
        <v>868</v>
      </c>
      <c r="AO244" s="83" t="s">
        <v>979</v>
      </c>
      <c r="AP244" s="80" t="b">
        <v>0</v>
      </c>
      <c r="AQ244" s="83" t="s">
        <v>868</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1</v>
      </c>
      <c r="BE244" s="79" t="str">
        <f>REPLACE(INDEX(GroupVertices[Group],MATCH(Edges[[#This Row],[Vertex 2]],GroupVertices[Vertex],0)),1,1,"")</f>
        <v>1</v>
      </c>
      <c r="BF244" s="49">
        <v>0</v>
      </c>
      <c r="BG244" s="50">
        <v>0</v>
      </c>
      <c r="BH244" s="49">
        <v>0</v>
      </c>
      <c r="BI244" s="50">
        <v>0</v>
      </c>
      <c r="BJ244" s="49">
        <v>0</v>
      </c>
      <c r="BK244" s="50">
        <v>0</v>
      </c>
      <c r="BL244" s="49">
        <v>34</v>
      </c>
      <c r="BM244" s="50">
        <v>100</v>
      </c>
      <c r="BN244" s="49">
        <v>34</v>
      </c>
    </row>
    <row r="245" spans="1:66" ht="15">
      <c r="A245" s="65" t="s">
        <v>332</v>
      </c>
      <c r="B245" s="65" t="s">
        <v>377</v>
      </c>
      <c r="C245" s="66" t="s">
        <v>2817</v>
      </c>
      <c r="D245" s="67">
        <v>10</v>
      </c>
      <c r="E245" s="66" t="s">
        <v>136</v>
      </c>
      <c r="F245" s="69">
        <v>15.75</v>
      </c>
      <c r="G245" s="66"/>
      <c r="H245" s="70"/>
      <c r="I245" s="71"/>
      <c r="J245" s="71"/>
      <c r="K245" s="35" t="s">
        <v>65</v>
      </c>
      <c r="L245" s="72">
        <v>245</v>
      </c>
      <c r="M245" s="72"/>
      <c r="N245" s="73"/>
      <c r="O245" s="80" t="s">
        <v>406</v>
      </c>
      <c r="P245" s="82">
        <v>44475.33542824074</v>
      </c>
      <c r="Q245" s="80" t="s">
        <v>471</v>
      </c>
      <c r="R245" s="85" t="str">
        <f>HYPERLINK("https://econ.trib.al/BfqdN5n")</f>
        <v>https://econ.trib.al/BfqdN5n</v>
      </c>
      <c r="S245" s="80" t="s">
        <v>528</v>
      </c>
      <c r="T245" s="80"/>
      <c r="U245" s="80"/>
      <c r="V245" s="85" t="str">
        <f>HYPERLINK("https://pbs.twimg.com/profile_images/879701858180358144/2vvZ7wVI_normal.jpg")</f>
        <v>https://pbs.twimg.com/profile_images/879701858180358144/2vvZ7wVI_normal.jpg</v>
      </c>
      <c r="W245" s="82">
        <v>44475.33542824074</v>
      </c>
      <c r="X245" s="87">
        <v>44475</v>
      </c>
      <c r="Y245" s="83" t="s">
        <v>683</v>
      </c>
      <c r="Z245" s="85" t="str">
        <f>HYPERLINK("https://twitter.com/econus/status/1445660855807266818")</f>
        <v>https://twitter.com/econus/status/1445660855807266818</v>
      </c>
      <c r="AA245" s="80"/>
      <c r="AB245" s="80"/>
      <c r="AC245" s="83" t="s">
        <v>866</v>
      </c>
      <c r="AD245" s="80"/>
      <c r="AE245" s="80" t="b">
        <v>0</v>
      </c>
      <c r="AF245" s="80">
        <v>0</v>
      </c>
      <c r="AG245" s="83" t="s">
        <v>952</v>
      </c>
      <c r="AH245" s="80" t="b">
        <v>0</v>
      </c>
      <c r="AI245" s="80" t="s">
        <v>967</v>
      </c>
      <c r="AJ245" s="80"/>
      <c r="AK245" s="83" t="s">
        <v>952</v>
      </c>
      <c r="AL245" s="80" t="b">
        <v>0</v>
      </c>
      <c r="AM245" s="80">
        <v>0</v>
      </c>
      <c r="AN245" s="83" t="s">
        <v>952</v>
      </c>
      <c r="AO245" s="83" t="s">
        <v>990</v>
      </c>
      <c r="AP245" s="80" t="b">
        <v>0</v>
      </c>
      <c r="AQ245" s="83" t="s">
        <v>866</v>
      </c>
      <c r="AR245" s="80" t="s">
        <v>196</v>
      </c>
      <c r="AS245" s="80">
        <v>0</v>
      </c>
      <c r="AT245" s="80">
        <v>0</v>
      </c>
      <c r="AU245" s="80"/>
      <c r="AV245" s="80"/>
      <c r="AW245" s="80"/>
      <c r="AX245" s="80"/>
      <c r="AY245" s="80"/>
      <c r="AZ245" s="80"/>
      <c r="BA245" s="80"/>
      <c r="BB245" s="80"/>
      <c r="BC245">
        <v>6</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332</v>
      </c>
      <c r="B246" s="65" t="s">
        <v>331</v>
      </c>
      <c r="C246" s="66" t="s">
        <v>2817</v>
      </c>
      <c r="D246" s="67">
        <v>10</v>
      </c>
      <c r="E246" s="66" t="s">
        <v>136</v>
      </c>
      <c r="F246" s="69">
        <v>15.75</v>
      </c>
      <c r="G246" s="66"/>
      <c r="H246" s="70"/>
      <c r="I246" s="71"/>
      <c r="J246" s="71"/>
      <c r="K246" s="35" t="s">
        <v>66</v>
      </c>
      <c r="L246" s="72">
        <v>246</v>
      </c>
      <c r="M246" s="72"/>
      <c r="N246" s="73"/>
      <c r="O246" s="80" t="s">
        <v>406</v>
      </c>
      <c r="P246" s="82">
        <v>44475.33542824074</v>
      </c>
      <c r="Q246" s="80" t="s">
        <v>471</v>
      </c>
      <c r="R246" s="85" t="str">
        <f>HYPERLINK("https://econ.trib.al/BfqdN5n")</f>
        <v>https://econ.trib.al/BfqdN5n</v>
      </c>
      <c r="S246" s="80" t="s">
        <v>528</v>
      </c>
      <c r="T246" s="80"/>
      <c r="U246" s="80"/>
      <c r="V246" s="85" t="str">
        <f>HYPERLINK("https://pbs.twimg.com/profile_images/879701858180358144/2vvZ7wVI_normal.jpg")</f>
        <v>https://pbs.twimg.com/profile_images/879701858180358144/2vvZ7wVI_normal.jpg</v>
      </c>
      <c r="W246" s="82">
        <v>44475.33542824074</v>
      </c>
      <c r="X246" s="87">
        <v>44475</v>
      </c>
      <c r="Y246" s="83" t="s">
        <v>683</v>
      </c>
      <c r="Z246" s="85" t="str">
        <f>HYPERLINK("https://twitter.com/econus/status/1445660855807266818")</f>
        <v>https://twitter.com/econus/status/1445660855807266818</v>
      </c>
      <c r="AA246" s="80"/>
      <c r="AB246" s="80"/>
      <c r="AC246" s="83" t="s">
        <v>866</v>
      </c>
      <c r="AD246" s="80"/>
      <c r="AE246" s="80" t="b">
        <v>0</v>
      </c>
      <c r="AF246" s="80">
        <v>0</v>
      </c>
      <c r="AG246" s="83" t="s">
        <v>952</v>
      </c>
      <c r="AH246" s="80" t="b">
        <v>0</v>
      </c>
      <c r="AI246" s="80" t="s">
        <v>967</v>
      </c>
      <c r="AJ246" s="80"/>
      <c r="AK246" s="83" t="s">
        <v>952</v>
      </c>
      <c r="AL246" s="80" t="b">
        <v>0</v>
      </c>
      <c r="AM246" s="80">
        <v>0</v>
      </c>
      <c r="AN246" s="83" t="s">
        <v>952</v>
      </c>
      <c r="AO246" s="83" t="s">
        <v>990</v>
      </c>
      <c r="AP246" s="80" t="b">
        <v>0</v>
      </c>
      <c r="AQ246" s="83" t="s">
        <v>866</v>
      </c>
      <c r="AR246" s="80" t="s">
        <v>196</v>
      </c>
      <c r="AS246" s="80">
        <v>0</v>
      </c>
      <c r="AT246" s="80">
        <v>0</v>
      </c>
      <c r="AU246" s="80"/>
      <c r="AV246" s="80"/>
      <c r="AW246" s="80"/>
      <c r="AX246" s="80"/>
      <c r="AY246" s="80"/>
      <c r="AZ246" s="80"/>
      <c r="BA246" s="80"/>
      <c r="BB246" s="80"/>
      <c r="BC246">
        <v>6</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332</v>
      </c>
      <c r="B247" s="65" t="s">
        <v>378</v>
      </c>
      <c r="C247" s="66" t="s">
        <v>2817</v>
      </c>
      <c r="D247" s="67">
        <v>10</v>
      </c>
      <c r="E247" s="66" t="s">
        <v>136</v>
      </c>
      <c r="F247" s="69">
        <v>15.75</v>
      </c>
      <c r="G247" s="66"/>
      <c r="H247" s="70"/>
      <c r="I247" s="71"/>
      <c r="J247" s="71"/>
      <c r="K247" s="35" t="s">
        <v>65</v>
      </c>
      <c r="L247" s="72">
        <v>247</v>
      </c>
      <c r="M247" s="72"/>
      <c r="N247" s="73"/>
      <c r="O247" s="80" t="s">
        <v>406</v>
      </c>
      <c r="P247" s="82">
        <v>44475.33542824074</v>
      </c>
      <c r="Q247" s="80" t="s">
        <v>471</v>
      </c>
      <c r="R247" s="85" t="str">
        <f>HYPERLINK("https://econ.trib.al/BfqdN5n")</f>
        <v>https://econ.trib.al/BfqdN5n</v>
      </c>
      <c r="S247" s="80" t="s">
        <v>528</v>
      </c>
      <c r="T247" s="80"/>
      <c r="U247" s="80"/>
      <c r="V247" s="85" t="str">
        <f>HYPERLINK("https://pbs.twimg.com/profile_images/879701858180358144/2vvZ7wVI_normal.jpg")</f>
        <v>https://pbs.twimg.com/profile_images/879701858180358144/2vvZ7wVI_normal.jpg</v>
      </c>
      <c r="W247" s="82">
        <v>44475.33542824074</v>
      </c>
      <c r="X247" s="87">
        <v>44475</v>
      </c>
      <c r="Y247" s="83" t="s">
        <v>683</v>
      </c>
      <c r="Z247" s="85" t="str">
        <f>HYPERLINK("https://twitter.com/econus/status/1445660855807266818")</f>
        <v>https://twitter.com/econus/status/1445660855807266818</v>
      </c>
      <c r="AA247" s="80"/>
      <c r="AB247" s="80"/>
      <c r="AC247" s="83" t="s">
        <v>866</v>
      </c>
      <c r="AD247" s="80"/>
      <c r="AE247" s="80" t="b">
        <v>0</v>
      </c>
      <c r="AF247" s="80">
        <v>0</v>
      </c>
      <c r="AG247" s="83" t="s">
        <v>952</v>
      </c>
      <c r="AH247" s="80" t="b">
        <v>0</v>
      </c>
      <c r="AI247" s="80" t="s">
        <v>967</v>
      </c>
      <c r="AJ247" s="80"/>
      <c r="AK247" s="83" t="s">
        <v>952</v>
      </c>
      <c r="AL247" s="80" t="b">
        <v>0</v>
      </c>
      <c r="AM247" s="80">
        <v>0</v>
      </c>
      <c r="AN247" s="83" t="s">
        <v>952</v>
      </c>
      <c r="AO247" s="83" t="s">
        <v>990</v>
      </c>
      <c r="AP247" s="80" t="b">
        <v>0</v>
      </c>
      <c r="AQ247" s="83" t="s">
        <v>866</v>
      </c>
      <c r="AR247" s="80" t="s">
        <v>196</v>
      </c>
      <c r="AS247" s="80">
        <v>0</v>
      </c>
      <c r="AT247" s="80">
        <v>0</v>
      </c>
      <c r="AU247" s="80"/>
      <c r="AV247" s="80"/>
      <c r="AW247" s="80"/>
      <c r="AX247" s="80"/>
      <c r="AY247" s="80"/>
      <c r="AZ247" s="80"/>
      <c r="BA247" s="80"/>
      <c r="BB247" s="80"/>
      <c r="BC247">
        <v>6</v>
      </c>
      <c r="BD247" s="79" t="str">
        <f>REPLACE(INDEX(GroupVertices[Group],MATCH(Edges[[#This Row],[Vertex 1]],GroupVertices[Vertex],0)),1,1,"")</f>
        <v>1</v>
      </c>
      <c r="BE247" s="79" t="str">
        <f>REPLACE(INDEX(GroupVertices[Group],MATCH(Edges[[#This Row],[Vertex 2]],GroupVertices[Vertex],0)),1,1,"")</f>
        <v>1</v>
      </c>
      <c r="BF247" s="49">
        <v>0</v>
      </c>
      <c r="BG247" s="50">
        <v>0</v>
      </c>
      <c r="BH247" s="49">
        <v>0</v>
      </c>
      <c r="BI247" s="50">
        <v>0</v>
      </c>
      <c r="BJ247" s="49">
        <v>0</v>
      </c>
      <c r="BK247" s="50">
        <v>0</v>
      </c>
      <c r="BL247" s="49">
        <v>34</v>
      </c>
      <c r="BM247" s="50">
        <v>100</v>
      </c>
      <c r="BN247" s="49">
        <v>34</v>
      </c>
    </row>
    <row r="248" spans="1:66" ht="15">
      <c r="A248" s="65" t="s">
        <v>332</v>
      </c>
      <c r="B248" s="65" t="s">
        <v>377</v>
      </c>
      <c r="C248" s="66" t="s">
        <v>2817</v>
      </c>
      <c r="D248" s="67">
        <v>10</v>
      </c>
      <c r="E248" s="66" t="s">
        <v>136</v>
      </c>
      <c r="F248" s="69">
        <v>15.75</v>
      </c>
      <c r="G248" s="66"/>
      <c r="H248" s="70"/>
      <c r="I248" s="71"/>
      <c r="J248" s="71"/>
      <c r="K248" s="35" t="s">
        <v>65</v>
      </c>
      <c r="L248" s="72">
        <v>248</v>
      </c>
      <c r="M248" s="72"/>
      <c r="N248" s="73"/>
      <c r="O248" s="80" t="s">
        <v>406</v>
      </c>
      <c r="P248" s="82">
        <v>44476.335497685184</v>
      </c>
      <c r="Q248" s="80" t="s">
        <v>431</v>
      </c>
      <c r="R248" s="85" t="str">
        <f>HYPERLINK("https://econ.trib.al/NL8KzOD")</f>
        <v>https://econ.trib.al/NL8KzOD</v>
      </c>
      <c r="S248" s="80" t="s">
        <v>528</v>
      </c>
      <c r="T248" s="80"/>
      <c r="U248" s="80"/>
      <c r="V248" s="85" t="str">
        <f>HYPERLINK("https://pbs.twimg.com/profile_images/879701858180358144/2vvZ7wVI_normal.jpg")</f>
        <v>https://pbs.twimg.com/profile_images/879701858180358144/2vvZ7wVI_normal.jpg</v>
      </c>
      <c r="W248" s="82">
        <v>44476.335497685184</v>
      </c>
      <c r="X248" s="87">
        <v>44476</v>
      </c>
      <c r="Y248" s="83" t="s">
        <v>684</v>
      </c>
      <c r="Z248" s="85" t="str">
        <f>HYPERLINK("https://twitter.com/econus/status/1446023267106578435")</f>
        <v>https://twitter.com/econus/status/1446023267106578435</v>
      </c>
      <c r="AA248" s="80"/>
      <c r="AB248" s="80"/>
      <c r="AC248" s="83" t="s">
        <v>867</v>
      </c>
      <c r="AD248" s="80"/>
      <c r="AE248" s="80" t="b">
        <v>0</v>
      </c>
      <c r="AF248" s="80">
        <v>1</v>
      </c>
      <c r="AG248" s="83" t="s">
        <v>952</v>
      </c>
      <c r="AH248" s="80" t="b">
        <v>0</v>
      </c>
      <c r="AI248" s="80" t="s">
        <v>967</v>
      </c>
      <c r="AJ248" s="80"/>
      <c r="AK248" s="83" t="s">
        <v>952</v>
      </c>
      <c r="AL248" s="80" t="b">
        <v>0</v>
      </c>
      <c r="AM248" s="80">
        <v>2</v>
      </c>
      <c r="AN248" s="83" t="s">
        <v>952</v>
      </c>
      <c r="AO248" s="83" t="s">
        <v>990</v>
      </c>
      <c r="AP248" s="80" t="b">
        <v>0</v>
      </c>
      <c r="AQ248" s="83" t="s">
        <v>867</v>
      </c>
      <c r="AR248" s="80" t="s">
        <v>196</v>
      </c>
      <c r="AS248" s="80">
        <v>0</v>
      </c>
      <c r="AT248" s="80">
        <v>0</v>
      </c>
      <c r="AU248" s="80"/>
      <c r="AV248" s="80"/>
      <c r="AW248" s="80"/>
      <c r="AX248" s="80"/>
      <c r="AY248" s="80"/>
      <c r="AZ248" s="80"/>
      <c r="BA248" s="80"/>
      <c r="BB248" s="80"/>
      <c r="BC248">
        <v>6</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332</v>
      </c>
      <c r="B249" s="65" t="s">
        <v>331</v>
      </c>
      <c r="C249" s="66" t="s">
        <v>2817</v>
      </c>
      <c r="D249" s="67">
        <v>10</v>
      </c>
      <c r="E249" s="66" t="s">
        <v>136</v>
      </c>
      <c r="F249" s="69">
        <v>15.75</v>
      </c>
      <c r="G249" s="66"/>
      <c r="H249" s="70"/>
      <c r="I249" s="71"/>
      <c r="J249" s="71"/>
      <c r="K249" s="35" t="s">
        <v>66</v>
      </c>
      <c r="L249" s="72">
        <v>249</v>
      </c>
      <c r="M249" s="72"/>
      <c r="N249" s="73"/>
      <c r="O249" s="80" t="s">
        <v>406</v>
      </c>
      <c r="P249" s="82">
        <v>44476.335497685184</v>
      </c>
      <c r="Q249" s="80" t="s">
        <v>431</v>
      </c>
      <c r="R249" s="85" t="str">
        <f>HYPERLINK("https://econ.trib.al/NL8KzOD")</f>
        <v>https://econ.trib.al/NL8KzOD</v>
      </c>
      <c r="S249" s="80" t="s">
        <v>528</v>
      </c>
      <c r="T249" s="80"/>
      <c r="U249" s="80"/>
      <c r="V249" s="85" t="str">
        <f>HYPERLINK("https://pbs.twimg.com/profile_images/879701858180358144/2vvZ7wVI_normal.jpg")</f>
        <v>https://pbs.twimg.com/profile_images/879701858180358144/2vvZ7wVI_normal.jpg</v>
      </c>
      <c r="W249" s="82">
        <v>44476.335497685184</v>
      </c>
      <c r="X249" s="87">
        <v>44476</v>
      </c>
      <c r="Y249" s="83" t="s">
        <v>684</v>
      </c>
      <c r="Z249" s="85" t="str">
        <f>HYPERLINK("https://twitter.com/econus/status/1446023267106578435")</f>
        <v>https://twitter.com/econus/status/1446023267106578435</v>
      </c>
      <c r="AA249" s="80"/>
      <c r="AB249" s="80"/>
      <c r="AC249" s="83" t="s">
        <v>867</v>
      </c>
      <c r="AD249" s="80"/>
      <c r="AE249" s="80" t="b">
        <v>0</v>
      </c>
      <c r="AF249" s="80">
        <v>1</v>
      </c>
      <c r="AG249" s="83" t="s">
        <v>952</v>
      </c>
      <c r="AH249" s="80" t="b">
        <v>0</v>
      </c>
      <c r="AI249" s="80" t="s">
        <v>967</v>
      </c>
      <c r="AJ249" s="80"/>
      <c r="AK249" s="83" t="s">
        <v>952</v>
      </c>
      <c r="AL249" s="80" t="b">
        <v>0</v>
      </c>
      <c r="AM249" s="80">
        <v>2</v>
      </c>
      <c r="AN249" s="83" t="s">
        <v>952</v>
      </c>
      <c r="AO249" s="83" t="s">
        <v>990</v>
      </c>
      <c r="AP249" s="80" t="b">
        <v>0</v>
      </c>
      <c r="AQ249" s="83" t="s">
        <v>867</v>
      </c>
      <c r="AR249" s="80" t="s">
        <v>196</v>
      </c>
      <c r="AS249" s="80">
        <v>0</v>
      </c>
      <c r="AT249" s="80">
        <v>0</v>
      </c>
      <c r="AU249" s="80"/>
      <c r="AV249" s="80"/>
      <c r="AW249" s="80"/>
      <c r="AX249" s="80"/>
      <c r="AY249" s="80"/>
      <c r="AZ249" s="80"/>
      <c r="BA249" s="80"/>
      <c r="BB249" s="80"/>
      <c r="BC249">
        <v>6</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332</v>
      </c>
      <c r="B250" s="65" t="s">
        <v>378</v>
      </c>
      <c r="C250" s="66" t="s">
        <v>2817</v>
      </c>
      <c r="D250" s="67">
        <v>10</v>
      </c>
      <c r="E250" s="66" t="s">
        <v>136</v>
      </c>
      <c r="F250" s="69">
        <v>15.75</v>
      </c>
      <c r="G250" s="66"/>
      <c r="H250" s="70"/>
      <c r="I250" s="71"/>
      <c r="J250" s="71"/>
      <c r="K250" s="35" t="s">
        <v>65</v>
      </c>
      <c r="L250" s="72">
        <v>250</v>
      </c>
      <c r="M250" s="72"/>
      <c r="N250" s="73"/>
      <c r="O250" s="80" t="s">
        <v>406</v>
      </c>
      <c r="P250" s="82">
        <v>44476.335497685184</v>
      </c>
      <c r="Q250" s="80" t="s">
        <v>431</v>
      </c>
      <c r="R250" s="85" t="str">
        <f>HYPERLINK("https://econ.trib.al/NL8KzOD")</f>
        <v>https://econ.trib.al/NL8KzOD</v>
      </c>
      <c r="S250" s="80" t="s">
        <v>528</v>
      </c>
      <c r="T250" s="80"/>
      <c r="U250" s="80"/>
      <c r="V250" s="85" t="str">
        <f>HYPERLINK("https://pbs.twimg.com/profile_images/879701858180358144/2vvZ7wVI_normal.jpg")</f>
        <v>https://pbs.twimg.com/profile_images/879701858180358144/2vvZ7wVI_normal.jpg</v>
      </c>
      <c r="W250" s="82">
        <v>44476.335497685184</v>
      </c>
      <c r="X250" s="87">
        <v>44476</v>
      </c>
      <c r="Y250" s="83" t="s">
        <v>684</v>
      </c>
      <c r="Z250" s="85" t="str">
        <f>HYPERLINK("https://twitter.com/econus/status/1446023267106578435")</f>
        <v>https://twitter.com/econus/status/1446023267106578435</v>
      </c>
      <c r="AA250" s="80"/>
      <c r="AB250" s="80"/>
      <c r="AC250" s="83" t="s">
        <v>867</v>
      </c>
      <c r="AD250" s="80"/>
      <c r="AE250" s="80" t="b">
        <v>0</v>
      </c>
      <c r="AF250" s="80">
        <v>1</v>
      </c>
      <c r="AG250" s="83" t="s">
        <v>952</v>
      </c>
      <c r="AH250" s="80" t="b">
        <v>0</v>
      </c>
      <c r="AI250" s="80" t="s">
        <v>967</v>
      </c>
      <c r="AJ250" s="80"/>
      <c r="AK250" s="83" t="s">
        <v>952</v>
      </c>
      <c r="AL250" s="80" t="b">
        <v>0</v>
      </c>
      <c r="AM250" s="80">
        <v>2</v>
      </c>
      <c r="AN250" s="83" t="s">
        <v>952</v>
      </c>
      <c r="AO250" s="83" t="s">
        <v>990</v>
      </c>
      <c r="AP250" s="80" t="b">
        <v>0</v>
      </c>
      <c r="AQ250" s="83" t="s">
        <v>867</v>
      </c>
      <c r="AR250" s="80" t="s">
        <v>196</v>
      </c>
      <c r="AS250" s="80">
        <v>0</v>
      </c>
      <c r="AT250" s="80">
        <v>0</v>
      </c>
      <c r="AU250" s="80"/>
      <c r="AV250" s="80"/>
      <c r="AW250" s="80"/>
      <c r="AX250" s="80"/>
      <c r="AY250" s="80"/>
      <c r="AZ250" s="80"/>
      <c r="BA250" s="80"/>
      <c r="BB250" s="80"/>
      <c r="BC250">
        <v>6</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34</v>
      </c>
      <c r="BM250" s="50">
        <v>100</v>
      </c>
      <c r="BN250" s="49">
        <v>34</v>
      </c>
    </row>
    <row r="251" spans="1:66" ht="15">
      <c r="A251" s="65" t="s">
        <v>332</v>
      </c>
      <c r="B251" s="65" t="s">
        <v>377</v>
      </c>
      <c r="C251" s="66" t="s">
        <v>2817</v>
      </c>
      <c r="D251" s="67">
        <v>10</v>
      </c>
      <c r="E251" s="66" t="s">
        <v>136</v>
      </c>
      <c r="F251" s="69">
        <v>15.75</v>
      </c>
      <c r="G251" s="66"/>
      <c r="H251" s="70"/>
      <c r="I251" s="71"/>
      <c r="J251" s="71"/>
      <c r="K251" s="35" t="s">
        <v>65</v>
      </c>
      <c r="L251" s="72">
        <v>251</v>
      </c>
      <c r="M251" s="72"/>
      <c r="N251" s="73"/>
      <c r="O251" s="80" t="s">
        <v>406</v>
      </c>
      <c r="P251" s="82">
        <v>44477.335486111115</v>
      </c>
      <c r="Q251" s="80" t="s">
        <v>470</v>
      </c>
      <c r="R251" s="85" t="str">
        <f>HYPERLINK("https://econ.trib.al/AoNqILv")</f>
        <v>https://econ.trib.al/AoNqILv</v>
      </c>
      <c r="S251" s="80" t="s">
        <v>528</v>
      </c>
      <c r="T251" s="80"/>
      <c r="U251" s="80"/>
      <c r="V251" s="85" t="str">
        <f>HYPERLINK("https://pbs.twimg.com/profile_images/879701858180358144/2vvZ7wVI_normal.jpg")</f>
        <v>https://pbs.twimg.com/profile_images/879701858180358144/2vvZ7wVI_normal.jpg</v>
      </c>
      <c r="W251" s="82">
        <v>44477.335486111115</v>
      </c>
      <c r="X251" s="87">
        <v>44477</v>
      </c>
      <c r="Y251" s="83" t="s">
        <v>685</v>
      </c>
      <c r="Z251" s="85" t="str">
        <f>HYPERLINK("https://twitter.com/econus/status/1446385652564701218")</f>
        <v>https://twitter.com/econus/status/1446385652564701218</v>
      </c>
      <c r="AA251" s="80"/>
      <c r="AB251" s="80"/>
      <c r="AC251" s="83" t="s">
        <v>868</v>
      </c>
      <c r="AD251" s="80"/>
      <c r="AE251" s="80" t="b">
        <v>0</v>
      </c>
      <c r="AF251" s="80">
        <v>3</v>
      </c>
      <c r="AG251" s="83" t="s">
        <v>952</v>
      </c>
      <c r="AH251" s="80" t="b">
        <v>0</v>
      </c>
      <c r="AI251" s="80" t="s">
        <v>967</v>
      </c>
      <c r="AJ251" s="80"/>
      <c r="AK251" s="83" t="s">
        <v>952</v>
      </c>
      <c r="AL251" s="80" t="b">
        <v>0</v>
      </c>
      <c r="AM251" s="80">
        <v>2</v>
      </c>
      <c r="AN251" s="83" t="s">
        <v>952</v>
      </c>
      <c r="AO251" s="83" t="s">
        <v>990</v>
      </c>
      <c r="AP251" s="80" t="b">
        <v>0</v>
      </c>
      <c r="AQ251" s="83" t="s">
        <v>868</v>
      </c>
      <c r="AR251" s="80" t="s">
        <v>196</v>
      </c>
      <c r="AS251" s="80">
        <v>0</v>
      </c>
      <c r="AT251" s="80">
        <v>0</v>
      </c>
      <c r="AU251" s="80"/>
      <c r="AV251" s="80"/>
      <c r="AW251" s="80"/>
      <c r="AX251" s="80"/>
      <c r="AY251" s="80"/>
      <c r="AZ251" s="80"/>
      <c r="BA251" s="80"/>
      <c r="BB251" s="80"/>
      <c r="BC251">
        <v>6</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332</v>
      </c>
      <c r="B252" s="65" t="s">
        <v>331</v>
      </c>
      <c r="C252" s="66" t="s">
        <v>2817</v>
      </c>
      <c r="D252" s="67">
        <v>10</v>
      </c>
      <c r="E252" s="66" t="s">
        <v>136</v>
      </c>
      <c r="F252" s="69">
        <v>15.75</v>
      </c>
      <c r="G252" s="66"/>
      <c r="H252" s="70"/>
      <c r="I252" s="71"/>
      <c r="J252" s="71"/>
      <c r="K252" s="35" t="s">
        <v>66</v>
      </c>
      <c r="L252" s="72">
        <v>252</v>
      </c>
      <c r="M252" s="72"/>
      <c r="N252" s="73"/>
      <c r="O252" s="80" t="s">
        <v>406</v>
      </c>
      <c r="P252" s="82">
        <v>44477.335486111115</v>
      </c>
      <c r="Q252" s="80" t="s">
        <v>470</v>
      </c>
      <c r="R252" s="85" t="str">
        <f>HYPERLINK("https://econ.trib.al/AoNqILv")</f>
        <v>https://econ.trib.al/AoNqILv</v>
      </c>
      <c r="S252" s="80" t="s">
        <v>528</v>
      </c>
      <c r="T252" s="80"/>
      <c r="U252" s="80"/>
      <c r="V252" s="85" t="str">
        <f>HYPERLINK("https://pbs.twimg.com/profile_images/879701858180358144/2vvZ7wVI_normal.jpg")</f>
        <v>https://pbs.twimg.com/profile_images/879701858180358144/2vvZ7wVI_normal.jpg</v>
      </c>
      <c r="W252" s="82">
        <v>44477.335486111115</v>
      </c>
      <c r="X252" s="87">
        <v>44477</v>
      </c>
      <c r="Y252" s="83" t="s">
        <v>685</v>
      </c>
      <c r="Z252" s="85" t="str">
        <f>HYPERLINK("https://twitter.com/econus/status/1446385652564701218")</f>
        <v>https://twitter.com/econus/status/1446385652564701218</v>
      </c>
      <c r="AA252" s="80"/>
      <c r="AB252" s="80"/>
      <c r="AC252" s="83" t="s">
        <v>868</v>
      </c>
      <c r="AD252" s="80"/>
      <c r="AE252" s="80" t="b">
        <v>0</v>
      </c>
      <c r="AF252" s="80">
        <v>3</v>
      </c>
      <c r="AG252" s="83" t="s">
        <v>952</v>
      </c>
      <c r="AH252" s="80" t="b">
        <v>0</v>
      </c>
      <c r="AI252" s="80" t="s">
        <v>967</v>
      </c>
      <c r="AJ252" s="80"/>
      <c r="AK252" s="83" t="s">
        <v>952</v>
      </c>
      <c r="AL252" s="80" t="b">
        <v>0</v>
      </c>
      <c r="AM252" s="80">
        <v>2</v>
      </c>
      <c r="AN252" s="83" t="s">
        <v>952</v>
      </c>
      <c r="AO252" s="83" t="s">
        <v>990</v>
      </c>
      <c r="AP252" s="80" t="b">
        <v>0</v>
      </c>
      <c r="AQ252" s="83" t="s">
        <v>868</v>
      </c>
      <c r="AR252" s="80" t="s">
        <v>196</v>
      </c>
      <c r="AS252" s="80">
        <v>0</v>
      </c>
      <c r="AT252" s="80">
        <v>0</v>
      </c>
      <c r="AU252" s="80"/>
      <c r="AV252" s="80"/>
      <c r="AW252" s="80"/>
      <c r="AX252" s="80"/>
      <c r="AY252" s="80"/>
      <c r="AZ252" s="80"/>
      <c r="BA252" s="80"/>
      <c r="BB252" s="80"/>
      <c r="BC252">
        <v>6</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332</v>
      </c>
      <c r="B253" s="65" t="s">
        <v>378</v>
      </c>
      <c r="C253" s="66" t="s">
        <v>2817</v>
      </c>
      <c r="D253" s="67">
        <v>10</v>
      </c>
      <c r="E253" s="66" t="s">
        <v>136</v>
      </c>
      <c r="F253" s="69">
        <v>15.75</v>
      </c>
      <c r="G253" s="66"/>
      <c r="H253" s="70"/>
      <c r="I253" s="71"/>
      <c r="J253" s="71"/>
      <c r="K253" s="35" t="s">
        <v>65</v>
      </c>
      <c r="L253" s="72">
        <v>253</v>
      </c>
      <c r="M253" s="72"/>
      <c r="N253" s="73"/>
      <c r="O253" s="80" t="s">
        <v>406</v>
      </c>
      <c r="P253" s="82">
        <v>44477.335486111115</v>
      </c>
      <c r="Q253" s="80" t="s">
        <v>470</v>
      </c>
      <c r="R253" s="85" t="str">
        <f>HYPERLINK("https://econ.trib.al/AoNqILv")</f>
        <v>https://econ.trib.al/AoNqILv</v>
      </c>
      <c r="S253" s="80" t="s">
        <v>528</v>
      </c>
      <c r="T253" s="80"/>
      <c r="U253" s="80"/>
      <c r="V253" s="85" t="str">
        <f>HYPERLINK("https://pbs.twimg.com/profile_images/879701858180358144/2vvZ7wVI_normal.jpg")</f>
        <v>https://pbs.twimg.com/profile_images/879701858180358144/2vvZ7wVI_normal.jpg</v>
      </c>
      <c r="W253" s="82">
        <v>44477.335486111115</v>
      </c>
      <c r="X253" s="87">
        <v>44477</v>
      </c>
      <c r="Y253" s="83" t="s">
        <v>685</v>
      </c>
      <c r="Z253" s="85" t="str">
        <f>HYPERLINK("https://twitter.com/econus/status/1446385652564701218")</f>
        <v>https://twitter.com/econus/status/1446385652564701218</v>
      </c>
      <c r="AA253" s="80"/>
      <c r="AB253" s="80"/>
      <c r="AC253" s="83" t="s">
        <v>868</v>
      </c>
      <c r="AD253" s="80"/>
      <c r="AE253" s="80" t="b">
        <v>0</v>
      </c>
      <c r="AF253" s="80">
        <v>3</v>
      </c>
      <c r="AG253" s="83" t="s">
        <v>952</v>
      </c>
      <c r="AH253" s="80" t="b">
        <v>0</v>
      </c>
      <c r="AI253" s="80" t="s">
        <v>967</v>
      </c>
      <c r="AJ253" s="80"/>
      <c r="AK253" s="83" t="s">
        <v>952</v>
      </c>
      <c r="AL253" s="80" t="b">
        <v>0</v>
      </c>
      <c r="AM253" s="80">
        <v>2</v>
      </c>
      <c r="AN253" s="83" t="s">
        <v>952</v>
      </c>
      <c r="AO253" s="83" t="s">
        <v>990</v>
      </c>
      <c r="AP253" s="80" t="b">
        <v>0</v>
      </c>
      <c r="AQ253" s="83" t="s">
        <v>868</v>
      </c>
      <c r="AR253" s="80" t="s">
        <v>196</v>
      </c>
      <c r="AS253" s="80">
        <v>0</v>
      </c>
      <c r="AT253" s="80">
        <v>0</v>
      </c>
      <c r="AU253" s="80"/>
      <c r="AV253" s="80"/>
      <c r="AW253" s="80"/>
      <c r="AX253" s="80"/>
      <c r="AY253" s="80"/>
      <c r="AZ253" s="80"/>
      <c r="BA253" s="80"/>
      <c r="BB253" s="80"/>
      <c r="BC253">
        <v>6</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34</v>
      </c>
      <c r="BM253" s="50">
        <v>100</v>
      </c>
      <c r="BN253" s="49">
        <v>34</v>
      </c>
    </row>
    <row r="254" spans="1:66" ht="15">
      <c r="A254" s="65" t="s">
        <v>332</v>
      </c>
      <c r="B254" s="65" t="s">
        <v>377</v>
      </c>
      <c r="C254" s="66" t="s">
        <v>2817</v>
      </c>
      <c r="D254" s="67">
        <v>10</v>
      </c>
      <c r="E254" s="66" t="s">
        <v>136</v>
      </c>
      <c r="F254" s="69">
        <v>15.75</v>
      </c>
      <c r="G254" s="66"/>
      <c r="H254" s="70"/>
      <c r="I254" s="71"/>
      <c r="J254" s="71"/>
      <c r="K254" s="35" t="s">
        <v>65</v>
      </c>
      <c r="L254" s="72">
        <v>254</v>
      </c>
      <c r="M254" s="72"/>
      <c r="N254" s="73"/>
      <c r="O254" s="80" t="s">
        <v>406</v>
      </c>
      <c r="P254" s="82">
        <v>44478.33546296296</v>
      </c>
      <c r="Q254" s="80" t="s">
        <v>472</v>
      </c>
      <c r="R254" s="85" t="str">
        <f>HYPERLINK("https://econ.trib.al/hX2OEYl")</f>
        <v>https://econ.trib.al/hX2OEYl</v>
      </c>
      <c r="S254" s="80" t="s">
        <v>528</v>
      </c>
      <c r="T254" s="80"/>
      <c r="U254" s="80"/>
      <c r="V254" s="85" t="str">
        <f>HYPERLINK("https://pbs.twimg.com/profile_images/879701858180358144/2vvZ7wVI_normal.jpg")</f>
        <v>https://pbs.twimg.com/profile_images/879701858180358144/2vvZ7wVI_normal.jpg</v>
      </c>
      <c r="W254" s="82">
        <v>44478.33546296296</v>
      </c>
      <c r="X254" s="87">
        <v>44478</v>
      </c>
      <c r="Y254" s="83" t="s">
        <v>686</v>
      </c>
      <c r="Z254" s="85" t="str">
        <f>HYPERLINK("https://twitter.com/econus/status/1446748031924285451")</f>
        <v>https://twitter.com/econus/status/1446748031924285451</v>
      </c>
      <c r="AA254" s="80"/>
      <c r="AB254" s="80"/>
      <c r="AC254" s="83" t="s">
        <v>869</v>
      </c>
      <c r="AD254" s="80"/>
      <c r="AE254" s="80" t="b">
        <v>0</v>
      </c>
      <c r="AF254" s="80">
        <v>0</v>
      </c>
      <c r="AG254" s="83" t="s">
        <v>952</v>
      </c>
      <c r="AH254" s="80" t="b">
        <v>0</v>
      </c>
      <c r="AI254" s="80" t="s">
        <v>967</v>
      </c>
      <c r="AJ254" s="80"/>
      <c r="AK254" s="83" t="s">
        <v>952</v>
      </c>
      <c r="AL254" s="80" t="b">
        <v>0</v>
      </c>
      <c r="AM254" s="80">
        <v>0</v>
      </c>
      <c r="AN254" s="83" t="s">
        <v>952</v>
      </c>
      <c r="AO254" s="83" t="s">
        <v>990</v>
      </c>
      <c r="AP254" s="80" t="b">
        <v>0</v>
      </c>
      <c r="AQ254" s="83" t="s">
        <v>869</v>
      </c>
      <c r="AR254" s="80" t="s">
        <v>196</v>
      </c>
      <c r="AS254" s="80">
        <v>0</v>
      </c>
      <c r="AT254" s="80">
        <v>0</v>
      </c>
      <c r="AU254" s="80"/>
      <c r="AV254" s="80"/>
      <c r="AW254" s="80"/>
      <c r="AX254" s="80"/>
      <c r="AY254" s="80"/>
      <c r="AZ254" s="80"/>
      <c r="BA254" s="80"/>
      <c r="BB254" s="80"/>
      <c r="BC254">
        <v>6</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332</v>
      </c>
      <c r="B255" s="65" t="s">
        <v>331</v>
      </c>
      <c r="C255" s="66" t="s">
        <v>2817</v>
      </c>
      <c r="D255" s="67">
        <v>10</v>
      </c>
      <c r="E255" s="66" t="s">
        <v>136</v>
      </c>
      <c r="F255" s="69">
        <v>15.75</v>
      </c>
      <c r="G255" s="66"/>
      <c r="H255" s="70"/>
      <c r="I255" s="71"/>
      <c r="J255" s="71"/>
      <c r="K255" s="35" t="s">
        <v>66</v>
      </c>
      <c r="L255" s="72">
        <v>255</v>
      </c>
      <c r="M255" s="72"/>
      <c r="N255" s="73"/>
      <c r="O255" s="80" t="s">
        <v>406</v>
      </c>
      <c r="P255" s="82">
        <v>44478.33546296296</v>
      </c>
      <c r="Q255" s="80" t="s">
        <v>472</v>
      </c>
      <c r="R255" s="85" t="str">
        <f>HYPERLINK("https://econ.trib.al/hX2OEYl")</f>
        <v>https://econ.trib.al/hX2OEYl</v>
      </c>
      <c r="S255" s="80" t="s">
        <v>528</v>
      </c>
      <c r="T255" s="80"/>
      <c r="U255" s="80"/>
      <c r="V255" s="85" t="str">
        <f>HYPERLINK("https://pbs.twimg.com/profile_images/879701858180358144/2vvZ7wVI_normal.jpg")</f>
        <v>https://pbs.twimg.com/profile_images/879701858180358144/2vvZ7wVI_normal.jpg</v>
      </c>
      <c r="W255" s="82">
        <v>44478.33546296296</v>
      </c>
      <c r="X255" s="87">
        <v>44478</v>
      </c>
      <c r="Y255" s="83" t="s">
        <v>686</v>
      </c>
      <c r="Z255" s="85" t="str">
        <f>HYPERLINK("https://twitter.com/econus/status/1446748031924285451")</f>
        <v>https://twitter.com/econus/status/1446748031924285451</v>
      </c>
      <c r="AA255" s="80"/>
      <c r="AB255" s="80"/>
      <c r="AC255" s="83" t="s">
        <v>869</v>
      </c>
      <c r="AD255" s="80"/>
      <c r="AE255" s="80" t="b">
        <v>0</v>
      </c>
      <c r="AF255" s="80">
        <v>0</v>
      </c>
      <c r="AG255" s="83" t="s">
        <v>952</v>
      </c>
      <c r="AH255" s="80" t="b">
        <v>0</v>
      </c>
      <c r="AI255" s="80" t="s">
        <v>967</v>
      </c>
      <c r="AJ255" s="80"/>
      <c r="AK255" s="83" t="s">
        <v>952</v>
      </c>
      <c r="AL255" s="80" t="b">
        <v>0</v>
      </c>
      <c r="AM255" s="80">
        <v>0</v>
      </c>
      <c r="AN255" s="83" t="s">
        <v>952</v>
      </c>
      <c r="AO255" s="83" t="s">
        <v>990</v>
      </c>
      <c r="AP255" s="80" t="b">
        <v>0</v>
      </c>
      <c r="AQ255" s="83" t="s">
        <v>869</v>
      </c>
      <c r="AR255" s="80" t="s">
        <v>196</v>
      </c>
      <c r="AS255" s="80">
        <v>0</v>
      </c>
      <c r="AT255" s="80">
        <v>0</v>
      </c>
      <c r="AU255" s="80"/>
      <c r="AV255" s="80"/>
      <c r="AW255" s="80"/>
      <c r="AX255" s="80"/>
      <c r="AY255" s="80"/>
      <c r="AZ255" s="80"/>
      <c r="BA255" s="80"/>
      <c r="BB255" s="80"/>
      <c r="BC255">
        <v>6</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332</v>
      </c>
      <c r="B256" s="65" t="s">
        <v>378</v>
      </c>
      <c r="C256" s="66" t="s">
        <v>2817</v>
      </c>
      <c r="D256" s="67">
        <v>10</v>
      </c>
      <c r="E256" s="66" t="s">
        <v>136</v>
      </c>
      <c r="F256" s="69">
        <v>15.75</v>
      </c>
      <c r="G256" s="66"/>
      <c r="H256" s="70"/>
      <c r="I256" s="71"/>
      <c r="J256" s="71"/>
      <c r="K256" s="35" t="s">
        <v>65</v>
      </c>
      <c r="L256" s="72">
        <v>256</v>
      </c>
      <c r="M256" s="72"/>
      <c r="N256" s="73"/>
      <c r="O256" s="80" t="s">
        <v>406</v>
      </c>
      <c r="P256" s="82">
        <v>44478.33546296296</v>
      </c>
      <c r="Q256" s="80" t="s">
        <v>472</v>
      </c>
      <c r="R256" s="85" t="str">
        <f>HYPERLINK("https://econ.trib.al/hX2OEYl")</f>
        <v>https://econ.trib.al/hX2OEYl</v>
      </c>
      <c r="S256" s="80" t="s">
        <v>528</v>
      </c>
      <c r="T256" s="80"/>
      <c r="U256" s="80"/>
      <c r="V256" s="85" t="str">
        <f>HYPERLINK("https://pbs.twimg.com/profile_images/879701858180358144/2vvZ7wVI_normal.jpg")</f>
        <v>https://pbs.twimg.com/profile_images/879701858180358144/2vvZ7wVI_normal.jpg</v>
      </c>
      <c r="W256" s="82">
        <v>44478.33546296296</v>
      </c>
      <c r="X256" s="87">
        <v>44478</v>
      </c>
      <c r="Y256" s="83" t="s">
        <v>686</v>
      </c>
      <c r="Z256" s="85" t="str">
        <f>HYPERLINK("https://twitter.com/econus/status/1446748031924285451")</f>
        <v>https://twitter.com/econus/status/1446748031924285451</v>
      </c>
      <c r="AA256" s="80"/>
      <c r="AB256" s="80"/>
      <c r="AC256" s="83" t="s">
        <v>869</v>
      </c>
      <c r="AD256" s="80"/>
      <c r="AE256" s="80" t="b">
        <v>0</v>
      </c>
      <c r="AF256" s="80">
        <v>0</v>
      </c>
      <c r="AG256" s="83" t="s">
        <v>952</v>
      </c>
      <c r="AH256" s="80" t="b">
        <v>0</v>
      </c>
      <c r="AI256" s="80" t="s">
        <v>967</v>
      </c>
      <c r="AJ256" s="80"/>
      <c r="AK256" s="83" t="s">
        <v>952</v>
      </c>
      <c r="AL256" s="80" t="b">
        <v>0</v>
      </c>
      <c r="AM256" s="80">
        <v>0</v>
      </c>
      <c r="AN256" s="83" t="s">
        <v>952</v>
      </c>
      <c r="AO256" s="83" t="s">
        <v>990</v>
      </c>
      <c r="AP256" s="80" t="b">
        <v>0</v>
      </c>
      <c r="AQ256" s="83" t="s">
        <v>869</v>
      </c>
      <c r="AR256" s="80" t="s">
        <v>196</v>
      </c>
      <c r="AS256" s="80">
        <v>0</v>
      </c>
      <c r="AT256" s="80">
        <v>0</v>
      </c>
      <c r="AU256" s="80"/>
      <c r="AV256" s="80"/>
      <c r="AW256" s="80"/>
      <c r="AX256" s="80"/>
      <c r="AY256" s="80"/>
      <c r="AZ256" s="80"/>
      <c r="BA256" s="80"/>
      <c r="BB256" s="80"/>
      <c r="BC256">
        <v>6</v>
      </c>
      <c r="BD256" s="79" t="str">
        <f>REPLACE(INDEX(GroupVertices[Group],MATCH(Edges[[#This Row],[Vertex 1]],GroupVertices[Vertex],0)),1,1,"")</f>
        <v>1</v>
      </c>
      <c r="BE256" s="79" t="str">
        <f>REPLACE(INDEX(GroupVertices[Group],MATCH(Edges[[#This Row],[Vertex 2]],GroupVertices[Vertex],0)),1,1,"")</f>
        <v>1</v>
      </c>
      <c r="BF256" s="49">
        <v>0</v>
      </c>
      <c r="BG256" s="50">
        <v>0</v>
      </c>
      <c r="BH256" s="49">
        <v>0</v>
      </c>
      <c r="BI256" s="50">
        <v>0</v>
      </c>
      <c r="BJ256" s="49">
        <v>0</v>
      </c>
      <c r="BK256" s="50">
        <v>0</v>
      </c>
      <c r="BL256" s="49">
        <v>34</v>
      </c>
      <c r="BM256" s="50">
        <v>100</v>
      </c>
      <c r="BN256" s="49">
        <v>34</v>
      </c>
    </row>
    <row r="257" spans="1:66" ht="15">
      <c r="A257" s="65" t="s">
        <v>332</v>
      </c>
      <c r="B257" s="65" t="s">
        <v>377</v>
      </c>
      <c r="C257" s="66" t="s">
        <v>2817</v>
      </c>
      <c r="D257" s="67">
        <v>10</v>
      </c>
      <c r="E257" s="66" t="s">
        <v>136</v>
      </c>
      <c r="F257" s="69">
        <v>15.75</v>
      </c>
      <c r="G257" s="66"/>
      <c r="H257" s="70"/>
      <c r="I257" s="71"/>
      <c r="J257" s="71"/>
      <c r="K257" s="35" t="s">
        <v>65</v>
      </c>
      <c r="L257" s="72">
        <v>257</v>
      </c>
      <c r="M257" s="72"/>
      <c r="N257" s="73"/>
      <c r="O257" s="80" t="s">
        <v>406</v>
      </c>
      <c r="P257" s="82">
        <v>44479.33546296296</v>
      </c>
      <c r="Q257" s="80" t="s">
        <v>473</v>
      </c>
      <c r="R257" s="85" t="str">
        <f>HYPERLINK("https://econ.trib.al/fJkeRl8")</f>
        <v>https://econ.trib.al/fJkeRl8</v>
      </c>
      <c r="S257" s="80" t="s">
        <v>528</v>
      </c>
      <c r="T257" s="80"/>
      <c r="U257" s="80"/>
      <c r="V257" s="85" t="str">
        <f>HYPERLINK("https://pbs.twimg.com/profile_images/879701858180358144/2vvZ7wVI_normal.jpg")</f>
        <v>https://pbs.twimg.com/profile_images/879701858180358144/2vvZ7wVI_normal.jpg</v>
      </c>
      <c r="W257" s="82">
        <v>44479.33546296296</v>
      </c>
      <c r="X257" s="87">
        <v>44479</v>
      </c>
      <c r="Y257" s="83" t="s">
        <v>686</v>
      </c>
      <c r="Z257" s="85" t="str">
        <f>HYPERLINK("https://twitter.com/econus/status/1447110417910747137")</f>
        <v>https://twitter.com/econus/status/1447110417910747137</v>
      </c>
      <c r="AA257" s="80"/>
      <c r="AB257" s="80"/>
      <c r="AC257" s="83" t="s">
        <v>870</v>
      </c>
      <c r="AD257" s="80"/>
      <c r="AE257" s="80" t="b">
        <v>0</v>
      </c>
      <c r="AF257" s="80">
        <v>0</v>
      </c>
      <c r="AG257" s="83" t="s">
        <v>952</v>
      </c>
      <c r="AH257" s="80" t="b">
        <v>0</v>
      </c>
      <c r="AI257" s="80" t="s">
        <v>967</v>
      </c>
      <c r="AJ257" s="80"/>
      <c r="AK257" s="83" t="s">
        <v>952</v>
      </c>
      <c r="AL257" s="80" t="b">
        <v>0</v>
      </c>
      <c r="AM257" s="80">
        <v>1</v>
      </c>
      <c r="AN257" s="83" t="s">
        <v>952</v>
      </c>
      <c r="AO257" s="83" t="s">
        <v>990</v>
      </c>
      <c r="AP257" s="80" t="b">
        <v>0</v>
      </c>
      <c r="AQ257" s="83" t="s">
        <v>870</v>
      </c>
      <c r="AR257" s="80" t="s">
        <v>196</v>
      </c>
      <c r="AS257" s="80">
        <v>0</v>
      </c>
      <c r="AT257" s="80">
        <v>0</v>
      </c>
      <c r="AU257" s="80"/>
      <c r="AV257" s="80"/>
      <c r="AW257" s="80"/>
      <c r="AX257" s="80"/>
      <c r="AY257" s="80"/>
      <c r="AZ257" s="80"/>
      <c r="BA257" s="80"/>
      <c r="BB257" s="80"/>
      <c r="BC257">
        <v>6</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332</v>
      </c>
      <c r="B258" s="65" t="s">
        <v>331</v>
      </c>
      <c r="C258" s="66" t="s">
        <v>2817</v>
      </c>
      <c r="D258" s="67">
        <v>10</v>
      </c>
      <c r="E258" s="66" t="s">
        <v>136</v>
      </c>
      <c r="F258" s="69">
        <v>15.75</v>
      </c>
      <c r="G258" s="66"/>
      <c r="H258" s="70"/>
      <c r="I258" s="71"/>
      <c r="J258" s="71"/>
      <c r="K258" s="35" t="s">
        <v>66</v>
      </c>
      <c r="L258" s="72">
        <v>258</v>
      </c>
      <c r="M258" s="72"/>
      <c r="N258" s="73"/>
      <c r="O258" s="80" t="s">
        <v>406</v>
      </c>
      <c r="P258" s="82">
        <v>44479.33546296296</v>
      </c>
      <c r="Q258" s="80" t="s">
        <v>473</v>
      </c>
      <c r="R258" s="85" t="str">
        <f>HYPERLINK("https://econ.trib.al/fJkeRl8")</f>
        <v>https://econ.trib.al/fJkeRl8</v>
      </c>
      <c r="S258" s="80" t="s">
        <v>528</v>
      </c>
      <c r="T258" s="80"/>
      <c r="U258" s="80"/>
      <c r="V258" s="85" t="str">
        <f>HYPERLINK("https://pbs.twimg.com/profile_images/879701858180358144/2vvZ7wVI_normal.jpg")</f>
        <v>https://pbs.twimg.com/profile_images/879701858180358144/2vvZ7wVI_normal.jpg</v>
      </c>
      <c r="W258" s="82">
        <v>44479.33546296296</v>
      </c>
      <c r="X258" s="87">
        <v>44479</v>
      </c>
      <c r="Y258" s="83" t="s">
        <v>686</v>
      </c>
      <c r="Z258" s="85" t="str">
        <f>HYPERLINK("https://twitter.com/econus/status/1447110417910747137")</f>
        <v>https://twitter.com/econus/status/1447110417910747137</v>
      </c>
      <c r="AA258" s="80"/>
      <c r="AB258" s="80"/>
      <c r="AC258" s="83" t="s">
        <v>870</v>
      </c>
      <c r="AD258" s="80"/>
      <c r="AE258" s="80" t="b">
        <v>0</v>
      </c>
      <c r="AF258" s="80">
        <v>0</v>
      </c>
      <c r="AG258" s="83" t="s">
        <v>952</v>
      </c>
      <c r="AH258" s="80" t="b">
        <v>0</v>
      </c>
      <c r="AI258" s="80" t="s">
        <v>967</v>
      </c>
      <c r="AJ258" s="80"/>
      <c r="AK258" s="83" t="s">
        <v>952</v>
      </c>
      <c r="AL258" s="80" t="b">
        <v>0</v>
      </c>
      <c r="AM258" s="80">
        <v>1</v>
      </c>
      <c r="AN258" s="83" t="s">
        <v>952</v>
      </c>
      <c r="AO258" s="83" t="s">
        <v>990</v>
      </c>
      <c r="AP258" s="80" t="b">
        <v>0</v>
      </c>
      <c r="AQ258" s="83" t="s">
        <v>870</v>
      </c>
      <c r="AR258" s="80" t="s">
        <v>196</v>
      </c>
      <c r="AS258" s="80">
        <v>0</v>
      </c>
      <c r="AT258" s="80">
        <v>0</v>
      </c>
      <c r="AU258" s="80"/>
      <c r="AV258" s="80"/>
      <c r="AW258" s="80"/>
      <c r="AX258" s="80"/>
      <c r="AY258" s="80"/>
      <c r="AZ258" s="80"/>
      <c r="BA258" s="80"/>
      <c r="BB258" s="80"/>
      <c r="BC258">
        <v>6</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332</v>
      </c>
      <c r="B259" s="65" t="s">
        <v>378</v>
      </c>
      <c r="C259" s="66" t="s">
        <v>2817</v>
      </c>
      <c r="D259" s="67">
        <v>10</v>
      </c>
      <c r="E259" s="66" t="s">
        <v>136</v>
      </c>
      <c r="F259" s="69">
        <v>15.75</v>
      </c>
      <c r="G259" s="66"/>
      <c r="H259" s="70"/>
      <c r="I259" s="71"/>
      <c r="J259" s="71"/>
      <c r="K259" s="35" t="s">
        <v>65</v>
      </c>
      <c r="L259" s="72">
        <v>259</v>
      </c>
      <c r="M259" s="72"/>
      <c r="N259" s="73"/>
      <c r="O259" s="80" t="s">
        <v>406</v>
      </c>
      <c r="P259" s="82">
        <v>44479.33546296296</v>
      </c>
      <c r="Q259" s="80" t="s">
        <v>473</v>
      </c>
      <c r="R259" s="85" t="str">
        <f>HYPERLINK("https://econ.trib.al/fJkeRl8")</f>
        <v>https://econ.trib.al/fJkeRl8</v>
      </c>
      <c r="S259" s="80" t="s">
        <v>528</v>
      </c>
      <c r="T259" s="80"/>
      <c r="U259" s="80"/>
      <c r="V259" s="85" t="str">
        <f>HYPERLINK("https://pbs.twimg.com/profile_images/879701858180358144/2vvZ7wVI_normal.jpg")</f>
        <v>https://pbs.twimg.com/profile_images/879701858180358144/2vvZ7wVI_normal.jpg</v>
      </c>
      <c r="W259" s="82">
        <v>44479.33546296296</v>
      </c>
      <c r="X259" s="87">
        <v>44479</v>
      </c>
      <c r="Y259" s="83" t="s">
        <v>686</v>
      </c>
      <c r="Z259" s="85" t="str">
        <f>HYPERLINK("https://twitter.com/econus/status/1447110417910747137")</f>
        <v>https://twitter.com/econus/status/1447110417910747137</v>
      </c>
      <c r="AA259" s="80"/>
      <c r="AB259" s="80"/>
      <c r="AC259" s="83" t="s">
        <v>870</v>
      </c>
      <c r="AD259" s="80"/>
      <c r="AE259" s="80" t="b">
        <v>0</v>
      </c>
      <c r="AF259" s="80">
        <v>0</v>
      </c>
      <c r="AG259" s="83" t="s">
        <v>952</v>
      </c>
      <c r="AH259" s="80" t="b">
        <v>0</v>
      </c>
      <c r="AI259" s="80" t="s">
        <v>967</v>
      </c>
      <c r="AJ259" s="80"/>
      <c r="AK259" s="83" t="s">
        <v>952</v>
      </c>
      <c r="AL259" s="80" t="b">
        <v>0</v>
      </c>
      <c r="AM259" s="80">
        <v>1</v>
      </c>
      <c r="AN259" s="83" t="s">
        <v>952</v>
      </c>
      <c r="AO259" s="83" t="s">
        <v>990</v>
      </c>
      <c r="AP259" s="80" t="b">
        <v>0</v>
      </c>
      <c r="AQ259" s="83" t="s">
        <v>870</v>
      </c>
      <c r="AR259" s="80" t="s">
        <v>196</v>
      </c>
      <c r="AS259" s="80">
        <v>0</v>
      </c>
      <c r="AT259" s="80">
        <v>0</v>
      </c>
      <c r="AU259" s="80"/>
      <c r="AV259" s="80"/>
      <c r="AW259" s="80"/>
      <c r="AX259" s="80"/>
      <c r="AY259" s="80"/>
      <c r="AZ259" s="80"/>
      <c r="BA259" s="80"/>
      <c r="BB259" s="80"/>
      <c r="BC259">
        <v>6</v>
      </c>
      <c r="BD259" s="79" t="str">
        <f>REPLACE(INDEX(GroupVertices[Group],MATCH(Edges[[#This Row],[Vertex 1]],GroupVertices[Vertex],0)),1,1,"")</f>
        <v>1</v>
      </c>
      <c r="BE259" s="79" t="str">
        <f>REPLACE(INDEX(GroupVertices[Group],MATCH(Edges[[#This Row],[Vertex 2]],GroupVertices[Vertex],0)),1,1,"")</f>
        <v>1</v>
      </c>
      <c r="BF259" s="49">
        <v>0</v>
      </c>
      <c r="BG259" s="50">
        <v>0</v>
      </c>
      <c r="BH259" s="49">
        <v>0</v>
      </c>
      <c r="BI259" s="50">
        <v>0</v>
      </c>
      <c r="BJ259" s="49">
        <v>0</v>
      </c>
      <c r="BK259" s="50">
        <v>0</v>
      </c>
      <c r="BL259" s="49">
        <v>34</v>
      </c>
      <c r="BM259" s="50">
        <v>100</v>
      </c>
      <c r="BN259" s="49">
        <v>34</v>
      </c>
    </row>
    <row r="260" spans="1:66" ht="15">
      <c r="A260" s="65" t="s">
        <v>332</v>
      </c>
      <c r="B260" s="65" t="s">
        <v>377</v>
      </c>
      <c r="C260" s="66" t="s">
        <v>2817</v>
      </c>
      <c r="D260" s="67">
        <v>10</v>
      </c>
      <c r="E260" s="66" t="s">
        <v>136</v>
      </c>
      <c r="F260" s="69">
        <v>15.75</v>
      </c>
      <c r="G260" s="66"/>
      <c r="H260" s="70"/>
      <c r="I260" s="71"/>
      <c r="J260" s="71"/>
      <c r="K260" s="35" t="s">
        <v>65</v>
      </c>
      <c r="L260" s="72">
        <v>260</v>
      </c>
      <c r="M260" s="72"/>
      <c r="N260" s="73"/>
      <c r="O260" s="80" t="s">
        <v>406</v>
      </c>
      <c r="P260" s="82">
        <v>44480.335486111115</v>
      </c>
      <c r="Q260" s="80" t="s">
        <v>474</v>
      </c>
      <c r="R260" s="85" t="str">
        <f>HYPERLINK("https://econ.trib.al/6yo11AH")</f>
        <v>https://econ.trib.al/6yo11AH</v>
      </c>
      <c r="S260" s="80" t="s">
        <v>528</v>
      </c>
      <c r="T260" s="80"/>
      <c r="U260" s="80"/>
      <c r="V260" s="85" t="str">
        <f>HYPERLINK("https://pbs.twimg.com/profile_images/879701858180358144/2vvZ7wVI_normal.jpg")</f>
        <v>https://pbs.twimg.com/profile_images/879701858180358144/2vvZ7wVI_normal.jpg</v>
      </c>
      <c r="W260" s="82">
        <v>44480.335486111115</v>
      </c>
      <c r="X260" s="87">
        <v>44480</v>
      </c>
      <c r="Y260" s="83" t="s">
        <v>685</v>
      </c>
      <c r="Z260" s="85" t="str">
        <f>HYPERLINK("https://twitter.com/econus/status/1447472813431001091")</f>
        <v>https://twitter.com/econus/status/1447472813431001091</v>
      </c>
      <c r="AA260" s="80"/>
      <c r="AB260" s="80"/>
      <c r="AC260" s="83" t="s">
        <v>871</v>
      </c>
      <c r="AD260" s="80"/>
      <c r="AE260" s="80" t="b">
        <v>0</v>
      </c>
      <c r="AF260" s="80">
        <v>0</v>
      </c>
      <c r="AG260" s="83" t="s">
        <v>952</v>
      </c>
      <c r="AH260" s="80" t="b">
        <v>0</v>
      </c>
      <c r="AI260" s="80" t="s">
        <v>967</v>
      </c>
      <c r="AJ260" s="80"/>
      <c r="AK260" s="83" t="s">
        <v>952</v>
      </c>
      <c r="AL260" s="80" t="b">
        <v>0</v>
      </c>
      <c r="AM260" s="80">
        <v>0</v>
      </c>
      <c r="AN260" s="83" t="s">
        <v>952</v>
      </c>
      <c r="AO260" s="83" t="s">
        <v>990</v>
      </c>
      <c r="AP260" s="80" t="b">
        <v>0</v>
      </c>
      <c r="AQ260" s="83" t="s">
        <v>871</v>
      </c>
      <c r="AR260" s="80" t="s">
        <v>196</v>
      </c>
      <c r="AS260" s="80">
        <v>0</v>
      </c>
      <c r="AT260" s="80">
        <v>0</v>
      </c>
      <c r="AU260" s="80"/>
      <c r="AV260" s="80"/>
      <c r="AW260" s="80"/>
      <c r="AX260" s="80"/>
      <c r="AY260" s="80"/>
      <c r="AZ260" s="80"/>
      <c r="BA260" s="80"/>
      <c r="BB260" s="80"/>
      <c r="BC260">
        <v>6</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332</v>
      </c>
      <c r="B261" s="65" t="s">
        <v>331</v>
      </c>
      <c r="C261" s="66" t="s">
        <v>2817</v>
      </c>
      <c r="D261" s="67">
        <v>10</v>
      </c>
      <c r="E261" s="66" t="s">
        <v>136</v>
      </c>
      <c r="F261" s="69">
        <v>15.75</v>
      </c>
      <c r="G261" s="66"/>
      <c r="H261" s="70"/>
      <c r="I261" s="71"/>
      <c r="J261" s="71"/>
      <c r="K261" s="35" t="s">
        <v>66</v>
      </c>
      <c r="L261" s="72">
        <v>261</v>
      </c>
      <c r="M261" s="72"/>
      <c r="N261" s="73"/>
      <c r="O261" s="80" t="s">
        <v>406</v>
      </c>
      <c r="P261" s="82">
        <v>44480.335486111115</v>
      </c>
      <c r="Q261" s="80" t="s">
        <v>474</v>
      </c>
      <c r="R261" s="85" t="str">
        <f>HYPERLINK("https://econ.trib.al/6yo11AH")</f>
        <v>https://econ.trib.al/6yo11AH</v>
      </c>
      <c r="S261" s="80" t="s">
        <v>528</v>
      </c>
      <c r="T261" s="80"/>
      <c r="U261" s="80"/>
      <c r="V261" s="85" t="str">
        <f>HYPERLINK("https://pbs.twimg.com/profile_images/879701858180358144/2vvZ7wVI_normal.jpg")</f>
        <v>https://pbs.twimg.com/profile_images/879701858180358144/2vvZ7wVI_normal.jpg</v>
      </c>
      <c r="W261" s="82">
        <v>44480.335486111115</v>
      </c>
      <c r="X261" s="87">
        <v>44480</v>
      </c>
      <c r="Y261" s="83" t="s">
        <v>685</v>
      </c>
      <c r="Z261" s="85" t="str">
        <f>HYPERLINK("https://twitter.com/econus/status/1447472813431001091")</f>
        <v>https://twitter.com/econus/status/1447472813431001091</v>
      </c>
      <c r="AA261" s="80"/>
      <c r="AB261" s="80"/>
      <c r="AC261" s="83" t="s">
        <v>871</v>
      </c>
      <c r="AD261" s="80"/>
      <c r="AE261" s="80" t="b">
        <v>0</v>
      </c>
      <c r="AF261" s="80">
        <v>0</v>
      </c>
      <c r="AG261" s="83" t="s">
        <v>952</v>
      </c>
      <c r="AH261" s="80" t="b">
        <v>0</v>
      </c>
      <c r="AI261" s="80" t="s">
        <v>967</v>
      </c>
      <c r="AJ261" s="80"/>
      <c r="AK261" s="83" t="s">
        <v>952</v>
      </c>
      <c r="AL261" s="80" t="b">
        <v>0</v>
      </c>
      <c r="AM261" s="80">
        <v>0</v>
      </c>
      <c r="AN261" s="83" t="s">
        <v>952</v>
      </c>
      <c r="AO261" s="83" t="s">
        <v>990</v>
      </c>
      <c r="AP261" s="80" t="b">
        <v>0</v>
      </c>
      <c r="AQ261" s="83" t="s">
        <v>871</v>
      </c>
      <c r="AR261" s="80" t="s">
        <v>196</v>
      </c>
      <c r="AS261" s="80">
        <v>0</v>
      </c>
      <c r="AT261" s="80">
        <v>0</v>
      </c>
      <c r="AU261" s="80"/>
      <c r="AV261" s="80"/>
      <c r="AW261" s="80"/>
      <c r="AX261" s="80"/>
      <c r="AY261" s="80"/>
      <c r="AZ261" s="80"/>
      <c r="BA261" s="80"/>
      <c r="BB261" s="80"/>
      <c r="BC261">
        <v>6</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332</v>
      </c>
      <c r="B262" s="65" t="s">
        <v>378</v>
      </c>
      <c r="C262" s="66" t="s">
        <v>2817</v>
      </c>
      <c r="D262" s="67">
        <v>10</v>
      </c>
      <c r="E262" s="66" t="s">
        <v>136</v>
      </c>
      <c r="F262" s="69">
        <v>15.75</v>
      </c>
      <c r="G262" s="66"/>
      <c r="H262" s="70"/>
      <c r="I262" s="71"/>
      <c r="J262" s="71"/>
      <c r="K262" s="35" t="s">
        <v>65</v>
      </c>
      <c r="L262" s="72">
        <v>262</v>
      </c>
      <c r="M262" s="72"/>
      <c r="N262" s="73"/>
      <c r="O262" s="80" t="s">
        <v>406</v>
      </c>
      <c r="P262" s="82">
        <v>44480.335486111115</v>
      </c>
      <c r="Q262" s="80" t="s">
        <v>474</v>
      </c>
      <c r="R262" s="85" t="str">
        <f>HYPERLINK("https://econ.trib.al/6yo11AH")</f>
        <v>https://econ.trib.al/6yo11AH</v>
      </c>
      <c r="S262" s="80" t="s">
        <v>528</v>
      </c>
      <c r="T262" s="80"/>
      <c r="U262" s="80"/>
      <c r="V262" s="85" t="str">
        <f>HYPERLINK("https://pbs.twimg.com/profile_images/879701858180358144/2vvZ7wVI_normal.jpg")</f>
        <v>https://pbs.twimg.com/profile_images/879701858180358144/2vvZ7wVI_normal.jpg</v>
      </c>
      <c r="W262" s="82">
        <v>44480.335486111115</v>
      </c>
      <c r="X262" s="87">
        <v>44480</v>
      </c>
      <c r="Y262" s="83" t="s">
        <v>685</v>
      </c>
      <c r="Z262" s="85" t="str">
        <f>HYPERLINK("https://twitter.com/econus/status/1447472813431001091")</f>
        <v>https://twitter.com/econus/status/1447472813431001091</v>
      </c>
      <c r="AA262" s="80"/>
      <c r="AB262" s="80"/>
      <c r="AC262" s="83" t="s">
        <v>871</v>
      </c>
      <c r="AD262" s="80"/>
      <c r="AE262" s="80" t="b">
        <v>0</v>
      </c>
      <c r="AF262" s="80">
        <v>0</v>
      </c>
      <c r="AG262" s="83" t="s">
        <v>952</v>
      </c>
      <c r="AH262" s="80" t="b">
        <v>0</v>
      </c>
      <c r="AI262" s="80" t="s">
        <v>967</v>
      </c>
      <c r="AJ262" s="80"/>
      <c r="AK262" s="83" t="s">
        <v>952</v>
      </c>
      <c r="AL262" s="80" t="b">
        <v>0</v>
      </c>
      <c r="AM262" s="80">
        <v>0</v>
      </c>
      <c r="AN262" s="83" t="s">
        <v>952</v>
      </c>
      <c r="AO262" s="83" t="s">
        <v>990</v>
      </c>
      <c r="AP262" s="80" t="b">
        <v>0</v>
      </c>
      <c r="AQ262" s="83" t="s">
        <v>871</v>
      </c>
      <c r="AR262" s="80" t="s">
        <v>196</v>
      </c>
      <c r="AS262" s="80">
        <v>0</v>
      </c>
      <c r="AT262" s="80">
        <v>0</v>
      </c>
      <c r="AU262" s="80"/>
      <c r="AV262" s="80"/>
      <c r="AW262" s="80"/>
      <c r="AX262" s="80"/>
      <c r="AY262" s="80"/>
      <c r="AZ262" s="80"/>
      <c r="BA262" s="80"/>
      <c r="BB262" s="80"/>
      <c r="BC262">
        <v>6</v>
      </c>
      <c r="BD262" s="79" t="str">
        <f>REPLACE(INDEX(GroupVertices[Group],MATCH(Edges[[#This Row],[Vertex 1]],GroupVertices[Vertex],0)),1,1,"")</f>
        <v>1</v>
      </c>
      <c r="BE262" s="79" t="str">
        <f>REPLACE(INDEX(GroupVertices[Group],MATCH(Edges[[#This Row],[Vertex 2]],GroupVertices[Vertex],0)),1,1,"")</f>
        <v>1</v>
      </c>
      <c r="BF262" s="49">
        <v>0</v>
      </c>
      <c r="BG262" s="50">
        <v>0</v>
      </c>
      <c r="BH262" s="49">
        <v>0</v>
      </c>
      <c r="BI262" s="50">
        <v>0</v>
      </c>
      <c r="BJ262" s="49">
        <v>0</v>
      </c>
      <c r="BK262" s="50">
        <v>0</v>
      </c>
      <c r="BL262" s="49">
        <v>34</v>
      </c>
      <c r="BM262" s="50">
        <v>100</v>
      </c>
      <c r="BN262" s="49">
        <v>34</v>
      </c>
    </row>
    <row r="263" spans="1:66" ht="15">
      <c r="A263" s="65" t="s">
        <v>333</v>
      </c>
      <c r="B263" s="65" t="s">
        <v>332</v>
      </c>
      <c r="C263" s="66" t="s">
        <v>2817</v>
      </c>
      <c r="D263" s="67">
        <v>10</v>
      </c>
      <c r="E263" s="66" t="s">
        <v>136</v>
      </c>
      <c r="F263" s="69">
        <v>15.75</v>
      </c>
      <c r="G263" s="66"/>
      <c r="H263" s="70"/>
      <c r="I263" s="71"/>
      <c r="J263" s="71"/>
      <c r="K263" s="35" t="s">
        <v>65</v>
      </c>
      <c r="L263" s="72">
        <v>263</v>
      </c>
      <c r="M263" s="72"/>
      <c r="N263" s="73"/>
      <c r="O263" s="80" t="s">
        <v>406</v>
      </c>
      <c r="P263" s="82">
        <v>44475.33678240741</v>
      </c>
      <c r="Q263" s="80" t="s">
        <v>475</v>
      </c>
      <c r="R263" s="85" t="str">
        <f>HYPERLINK("https://econ.trib.al/BfqdN5n")</f>
        <v>https://econ.trib.al/BfqdN5n</v>
      </c>
      <c r="S263" s="80" t="s">
        <v>528</v>
      </c>
      <c r="T263" s="80"/>
      <c r="U263" s="80"/>
      <c r="V263" s="85" t="str">
        <f>HYPERLINK("https://pbs.twimg.com/profile_images/1354343790060969990/Fqw5w_P0_normal.jpg")</f>
        <v>https://pbs.twimg.com/profile_images/1354343790060969990/Fqw5w_P0_normal.jpg</v>
      </c>
      <c r="W263" s="82">
        <v>44475.33678240741</v>
      </c>
      <c r="X263" s="87">
        <v>44475</v>
      </c>
      <c r="Y263" s="83" t="s">
        <v>687</v>
      </c>
      <c r="Z263" s="85" t="str">
        <f>HYPERLINK("https://twitter.com/jfrusci/status/1445661345777475584")</f>
        <v>https://twitter.com/jfrusci/status/1445661345777475584</v>
      </c>
      <c r="AA263" s="80"/>
      <c r="AB263" s="80"/>
      <c r="AC263" s="83" t="s">
        <v>872</v>
      </c>
      <c r="AD263" s="80"/>
      <c r="AE263" s="80" t="b">
        <v>0</v>
      </c>
      <c r="AF263" s="80">
        <v>0</v>
      </c>
      <c r="AG263" s="83" t="s">
        <v>952</v>
      </c>
      <c r="AH263" s="80" t="b">
        <v>0</v>
      </c>
      <c r="AI263" s="80" t="s">
        <v>967</v>
      </c>
      <c r="AJ263" s="80"/>
      <c r="AK263" s="83" t="s">
        <v>952</v>
      </c>
      <c r="AL263" s="80" t="b">
        <v>0</v>
      </c>
      <c r="AM263" s="80">
        <v>0</v>
      </c>
      <c r="AN263" s="83" t="s">
        <v>952</v>
      </c>
      <c r="AO263" s="83" t="s">
        <v>991</v>
      </c>
      <c r="AP263" s="80" t="b">
        <v>0</v>
      </c>
      <c r="AQ263" s="83" t="s">
        <v>872</v>
      </c>
      <c r="AR263" s="80" t="s">
        <v>196</v>
      </c>
      <c r="AS263" s="80">
        <v>0</v>
      </c>
      <c r="AT263" s="80">
        <v>0</v>
      </c>
      <c r="AU263" s="80"/>
      <c r="AV263" s="80"/>
      <c r="AW263" s="80"/>
      <c r="AX263" s="80"/>
      <c r="AY263" s="80"/>
      <c r="AZ263" s="80"/>
      <c r="BA263" s="80"/>
      <c r="BB263" s="80"/>
      <c r="BC263">
        <v>6</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333</v>
      </c>
      <c r="B264" s="65" t="s">
        <v>332</v>
      </c>
      <c r="C264" s="66" t="s">
        <v>2817</v>
      </c>
      <c r="D264" s="67">
        <v>10</v>
      </c>
      <c r="E264" s="66" t="s">
        <v>136</v>
      </c>
      <c r="F264" s="69">
        <v>15.75</v>
      </c>
      <c r="G264" s="66"/>
      <c r="H264" s="70"/>
      <c r="I264" s="71"/>
      <c r="J264" s="71"/>
      <c r="K264" s="35" t="s">
        <v>65</v>
      </c>
      <c r="L264" s="72">
        <v>264</v>
      </c>
      <c r="M264" s="72"/>
      <c r="N264" s="73"/>
      <c r="O264" s="80" t="s">
        <v>406</v>
      </c>
      <c r="P264" s="82">
        <v>44476.33560185185</v>
      </c>
      <c r="Q264" s="80" t="s">
        <v>476</v>
      </c>
      <c r="R264" s="85" t="str">
        <f>HYPERLINK("https://econ.trib.al/NL8KzOD")</f>
        <v>https://econ.trib.al/NL8KzOD</v>
      </c>
      <c r="S264" s="80" t="s">
        <v>528</v>
      </c>
      <c r="T264" s="80"/>
      <c r="U264" s="80"/>
      <c r="V264" s="85" t="str">
        <f>HYPERLINK("https://pbs.twimg.com/profile_images/1354343790060969990/Fqw5w_P0_normal.jpg")</f>
        <v>https://pbs.twimg.com/profile_images/1354343790060969990/Fqw5w_P0_normal.jpg</v>
      </c>
      <c r="W264" s="82">
        <v>44476.33560185185</v>
      </c>
      <c r="X264" s="87">
        <v>44476</v>
      </c>
      <c r="Y264" s="83" t="s">
        <v>688</v>
      </c>
      <c r="Z264" s="85" t="str">
        <f>HYPERLINK("https://twitter.com/jfrusci/status/1446023305828372481")</f>
        <v>https://twitter.com/jfrusci/status/1446023305828372481</v>
      </c>
      <c r="AA264" s="80"/>
      <c r="AB264" s="80"/>
      <c r="AC264" s="83" t="s">
        <v>873</v>
      </c>
      <c r="AD264" s="80"/>
      <c r="AE264" s="80" t="b">
        <v>0</v>
      </c>
      <c r="AF264" s="80">
        <v>0</v>
      </c>
      <c r="AG264" s="83" t="s">
        <v>952</v>
      </c>
      <c r="AH264" s="80" t="b">
        <v>0</v>
      </c>
      <c r="AI264" s="80" t="s">
        <v>967</v>
      </c>
      <c r="AJ264" s="80"/>
      <c r="AK264" s="83" t="s">
        <v>952</v>
      </c>
      <c r="AL264" s="80" t="b">
        <v>0</v>
      </c>
      <c r="AM264" s="80">
        <v>0</v>
      </c>
      <c r="AN264" s="83" t="s">
        <v>952</v>
      </c>
      <c r="AO264" s="83" t="s">
        <v>991</v>
      </c>
      <c r="AP264" s="80" t="b">
        <v>0</v>
      </c>
      <c r="AQ264" s="83" t="s">
        <v>873</v>
      </c>
      <c r="AR264" s="80" t="s">
        <v>196</v>
      </c>
      <c r="AS264" s="80">
        <v>0</v>
      </c>
      <c r="AT264" s="80">
        <v>0</v>
      </c>
      <c r="AU264" s="80"/>
      <c r="AV264" s="80"/>
      <c r="AW264" s="80"/>
      <c r="AX264" s="80"/>
      <c r="AY264" s="80"/>
      <c r="AZ264" s="80"/>
      <c r="BA264" s="80"/>
      <c r="BB264" s="80"/>
      <c r="BC264">
        <v>6</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333</v>
      </c>
      <c r="B265" s="65" t="s">
        <v>332</v>
      </c>
      <c r="C265" s="66" t="s">
        <v>2817</v>
      </c>
      <c r="D265" s="67">
        <v>10</v>
      </c>
      <c r="E265" s="66" t="s">
        <v>136</v>
      </c>
      <c r="F265" s="69">
        <v>15.75</v>
      </c>
      <c r="G265" s="66"/>
      <c r="H265" s="70"/>
      <c r="I265" s="71"/>
      <c r="J265" s="71"/>
      <c r="K265" s="35" t="s">
        <v>65</v>
      </c>
      <c r="L265" s="72">
        <v>265</v>
      </c>
      <c r="M265" s="72"/>
      <c r="N265" s="73"/>
      <c r="O265" s="80" t="s">
        <v>406</v>
      </c>
      <c r="P265" s="82">
        <v>44477.33628472222</v>
      </c>
      <c r="Q265" s="80" t="s">
        <v>477</v>
      </c>
      <c r="R265" s="85" t="str">
        <f>HYPERLINK("https://econ.trib.al/AoNqILv")</f>
        <v>https://econ.trib.al/AoNqILv</v>
      </c>
      <c r="S265" s="80" t="s">
        <v>528</v>
      </c>
      <c r="T265" s="80"/>
      <c r="U265" s="80"/>
      <c r="V265" s="85" t="str">
        <f>HYPERLINK("https://pbs.twimg.com/profile_images/1354343790060969990/Fqw5w_P0_normal.jpg")</f>
        <v>https://pbs.twimg.com/profile_images/1354343790060969990/Fqw5w_P0_normal.jpg</v>
      </c>
      <c r="W265" s="82">
        <v>44477.33628472222</v>
      </c>
      <c r="X265" s="87">
        <v>44477</v>
      </c>
      <c r="Y265" s="83" t="s">
        <v>689</v>
      </c>
      <c r="Z265" s="85" t="str">
        <f>HYPERLINK("https://twitter.com/jfrusci/status/1446385941086679076")</f>
        <v>https://twitter.com/jfrusci/status/1446385941086679076</v>
      </c>
      <c r="AA265" s="80"/>
      <c r="AB265" s="80"/>
      <c r="AC265" s="83" t="s">
        <v>874</v>
      </c>
      <c r="AD265" s="80"/>
      <c r="AE265" s="80" t="b">
        <v>0</v>
      </c>
      <c r="AF265" s="80">
        <v>2</v>
      </c>
      <c r="AG265" s="83" t="s">
        <v>952</v>
      </c>
      <c r="AH265" s="80" t="b">
        <v>0</v>
      </c>
      <c r="AI265" s="80" t="s">
        <v>967</v>
      </c>
      <c r="AJ265" s="80"/>
      <c r="AK265" s="83" t="s">
        <v>952</v>
      </c>
      <c r="AL265" s="80" t="b">
        <v>0</v>
      </c>
      <c r="AM265" s="80">
        <v>1</v>
      </c>
      <c r="AN265" s="83" t="s">
        <v>952</v>
      </c>
      <c r="AO265" s="83" t="s">
        <v>991</v>
      </c>
      <c r="AP265" s="80" t="b">
        <v>0</v>
      </c>
      <c r="AQ265" s="83" t="s">
        <v>874</v>
      </c>
      <c r="AR265" s="80" t="s">
        <v>196</v>
      </c>
      <c r="AS265" s="80">
        <v>0</v>
      </c>
      <c r="AT265" s="80">
        <v>0</v>
      </c>
      <c r="AU265" s="80"/>
      <c r="AV265" s="80"/>
      <c r="AW265" s="80"/>
      <c r="AX265" s="80"/>
      <c r="AY265" s="80"/>
      <c r="AZ265" s="80"/>
      <c r="BA265" s="80"/>
      <c r="BB265" s="80"/>
      <c r="BC265">
        <v>6</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333</v>
      </c>
      <c r="B266" s="65" t="s">
        <v>332</v>
      </c>
      <c r="C266" s="66" t="s">
        <v>2817</v>
      </c>
      <c r="D266" s="67">
        <v>10</v>
      </c>
      <c r="E266" s="66" t="s">
        <v>136</v>
      </c>
      <c r="F266" s="69">
        <v>15.75</v>
      </c>
      <c r="G266" s="66"/>
      <c r="H266" s="70"/>
      <c r="I266" s="71"/>
      <c r="J266" s="71"/>
      <c r="K266" s="35" t="s">
        <v>65</v>
      </c>
      <c r="L266" s="72">
        <v>266</v>
      </c>
      <c r="M266" s="72"/>
      <c r="N266" s="73"/>
      <c r="O266" s="80" t="s">
        <v>406</v>
      </c>
      <c r="P266" s="82">
        <v>44478.3371412037</v>
      </c>
      <c r="Q266" s="80" t="s">
        <v>478</v>
      </c>
      <c r="R266" s="85" t="str">
        <f>HYPERLINK("https://econ.trib.al/hX2OEYl")</f>
        <v>https://econ.trib.al/hX2OEYl</v>
      </c>
      <c r="S266" s="80" t="s">
        <v>528</v>
      </c>
      <c r="T266" s="80"/>
      <c r="U266" s="80"/>
      <c r="V266" s="85" t="str">
        <f>HYPERLINK("https://pbs.twimg.com/profile_images/1354343790060969990/Fqw5w_P0_normal.jpg")</f>
        <v>https://pbs.twimg.com/profile_images/1354343790060969990/Fqw5w_P0_normal.jpg</v>
      </c>
      <c r="W266" s="82">
        <v>44478.3371412037</v>
      </c>
      <c r="X266" s="87">
        <v>44478</v>
      </c>
      <c r="Y266" s="83" t="s">
        <v>690</v>
      </c>
      <c r="Z266" s="85" t="str">
        <f>HYPERLINK("https://twitter.com/jfrusci/status/1446748639930552326")</f>
        <v>https://twitter.com/jfrusci/status/1446748639930552326</v>
      </c>
      <c r="AA266" s="80"/>
      <c r="AB266" s="80"/>
      <c r="AC266" s="83" t="s">
        <v>875</v>
      </c>
      <c r="AD266" s="80"/>
      <c r="AE266" s="80" t="b">
        <v>0</v>
      </c>
      <c r="AF266" s="80">
        <v>0</v>
      </c>
      <c r="AG266" s="83" t="s">
        <v>952</v>
      </c>
      <c r="AH266" s="80" t="b">
        <v>0</v>
      </c>
      <c r="AI266" s="80" t="s">
        <v>967</v>
      </c>
      <c r="AJ266" s="80"/>
      <c r="AK266" s="83" t="s">
        <v>952</v>
      </c>
      <c r="AL266" s="80" t="b">
        <v>0</v>
      </c>
      <c r="AM266" s="80">
        <v>0</v>
      </c>
      <c r="AN266" s="83" t="s">
        <v>952</v>
      </c>
      <c r="AO266" s="83" t="s">
        <v>991</v>
      </c>
      <c r="AP266" s="80" t="b">
        <v>0</v>
      </c>
      <c r="AQ266" s="83" t="s">
        <v>875</v>
      </c>
      <c r="AR266" s="80" t="s">
        <v>196</v>
      </c>
      <c r="AS266" s="80">
        <v>0</v>
      </c>
      <c r="AT266" s="80">
        <v>0</v>
      </c>
      <c r="AU266" s="80"/>
      <c r="AV266" s="80"/>
      <c r="AW266" s="80"/>
      <c r="AX266" s="80"/>
      <c r="AY266" s="80"/>
      <c r="AZ266" s="80"/>
      <c r="BA266" s="80"/>
      <c r="BB266" s="80"/>
      <c r="BC266">
        <v>6</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333</v>
      </c>
      <c r="B267" s="65" t="s">
        <v>332</v>
      </c>
      <c r="C267" s="66" t="s">
        <v>2817</v>
      </c>
      <c r="D267" s="67">
        <v>10</v>
      </c>
      <c r="E267" s="66" t="s">
        <v>136</v>
      </c>
      <c r="F267" s="69">
        <v>15.75</v>
      </c>
      <c r="G267" s="66"/>
      <c r="H267" s="70"/>
      <c r="I267" s="71"/>
      <c r="J267" s="71"/>
      <c r="K267" s="35" t="s">
        <v>65</v>
      </c>
      <c r="L267" s="72">
        <v>267</v>
      </c>
      <c r="M267" s="72"/>
      <c r="N267" s="73"/>
      <c r="O267" s="80" t="s">
        <v>406</v>
      </c>
      <c r="P267" s="82">
        <v>44479.33621527778</v>
      </c>
      <c r="Q267" s="80" t="s">
        <v>479</v>
      </c>
      <c r="R267" s="85" t="str">
        <f>HYPERLINK("https://econ.trib.al/fJkeRl8")</f>
        <v>https://econ.trib.al/fJkeRl8</v>
      </c>
      <c r="S267" s="80" t="s">
        <v>528</v>
      </c>
      <c r="T267" s="80"/>
      <c r="U267" s="80"/>
      <c r="V267" s="85" t="str">
        <f>HYPERLINK("https://pbs.twimg.com/profile_images/1354343790060969990/Fqw5w_P0_normal.jpg")</f>
        <v>https://pbs.twimg.com/profile_images/1354343790060969990/Fqw5w_P0_normal.jpg</v>
      </c>
      <c r="W267" s="82">
        <v>44479.33621527778</v>
      </c>
      <c r="X267" s="87">
        <v>44479</v>
      </c>
      <c r="Y267" s="83" t="s">
        <v>691</v>
      </c>
      <c r="Z267" s="85" t="str">
        <f>HYPERLINK("https://twitter.com/jfrusci/status/1447110690217598979")</f>
        <v>https://twitter.com/jfrusci/status/1447110690217598979</v>
      </c>
      <c r="AA267" s="80"/>
      <c r="AB267" s="80"/>
      <c r="AC267" s="83" t="s">
        <v>876</v>
      </c>
      <c r="AD267" s="80"/>
      <c r="AE267" s="80" t="b">
        <v>0</v>
      </c>
      <c r="AF267" s="80">
        <v>0</v>
      </c>
      <c r="AG267" s="83" t="s">
        <v>952</v>
      </c>
      <c r="AH267" s="80" t="b">
        <v>0</v>
      </c>
      <c r="AI267" s="80" t="s">
        <v>967</v>
      </c>
      <c r="AJ267" s="80"/>
      <c r="AK267" s="83" t="s">
        <v>952</v>
      </c>
      <c r="AL267" s="80" t="b">
        <v>0</v>
      </c>
      <c r="AM267" s="80">
        <v>1</v>
      </c>
      <c r="AN267" s="83" t="s">
        <v>952</v>
      </c>
      <c r="AO267" s="83" t="s">
        <v>991</v>
      </c>
      <c r="AP267" s="80" t="b">
        <v>0</v>
      </c>
      <c r="AQ267" s="83" t="s">
        <v>876</v>
      </c>
      <c r="AR267" s="80" t="s">
        <v>196</v>
      </c>
      <c r="AS267" s="80">
        <v>0</v>
      </c>
      <c r="AT267" s="80">
        <v>0</v>
      </c>
      <c r="AU267" s="80"/>
      <c r="AV267" s="80"/>
      <c r="AW267" s="80"/>
      <c r="AX267" s="80"/>
      <c r="AY267" s="80"/>
      <c r="AZ267" s="80"/>
      <c r="BA267" s="80"/>
      <c r="BB267" s="80"/>
      <c r="BC267">
        <v>6</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333</v>
      </c>
      <c r="B268" s="65" t="s">
        <v>332</v>
      </c>
      <c r="C268" s="66" t="s">
        <v>2817</v>
      </c>
      <c r="D268" s="67">
        <v>10</v>
      </c>
      <c r="E268" s="66" t="s">
        <v>136</v>
      </c>
      <c r="F268" s="69">
        <v>15.75</v>
      </c>
      <c r="G268" s="66"/>
      <c r="H268" s="70"/>
      <c r="I268" s="71"/>
      <c r="J268" s="71"/>
      <c r="K268" s="35" t="s">
        <v>65</v>
      </c>
      <c r="L268" s="72">
        <v>268</v>
      </c>
      <c r="M268" s="72"/>
      <c r="N268" s="73"/>
      <c r="O268" s="80" t="s">
        <v>406</v>
      </c>
      <c r="P268" s="82">
        <v>44480.337118055555</v>
      </c>
      <c r="Q268" s="80" t="s">
        <v>480</v>
      </c>
      <c r="R268" s="85" t="str">
        <f>HYPERLINK("https://econ.trib.al/6yo11AH")</f>
        <v>https://econ.trib.al/6yo11AH</v>
      </c>
      <c r="S268" s="80" t="s">
        <v>528</v>
      </c>
      <c r="T268" s="80"/>
      <c r="U268" s="80"/>
      <c r="V268" s="85" t="str">
        <f>HYPERLINK("https://pbs.twimg.com/profile_images/1354343790060969990/Fqw5w_P0_normal.jpg")</f>
        <v>https://pbs.twimg.com/profile_images/1354343790060969990/Fqw5w_P0_normal.jpg</v>
      </c>
      <c r="W268" s="82">
        <v>44480.337118055555</v>
      </c>
      <c r="X268" s="87">
        <v>44480</v>
      </c>
      <c r="Y268" s="83" t="s">
        <v>692</v>
      </c>
      <c r="Z268" s="85" t="str">
        <f>HYPERLINK("https://twitter.com/jfrusci/status/1447473406325239809")</f>
        <v>https://twitter.com/jfrusci/status/1447473406325239809</v>
      </c>
      <c r="AA268" s="80"/>
      <c r="AB268" s="80"/>
      <c r="AC268" s="83" t="s">
        <v>877</v>
      </c>
      <c r="AD268" s="80"/>
      <c r="AE268" s="80" t="b">
        <v>0</v>
      </c>
      <c r="AF268" s="80">
        <v>0</v>
      </c>
      <c r="AG268" s="83" t="s">
        <v>952</v>
      </c>
      <c r="AH268" s="80" t="b">
        <v>0</v>
      </c>
      <c r="AI268" s="80" t="s">
        <v>967</v>
      </c>
      <c r="AJ268" s="80"/>
      <c r="AK268" s="83" t="s">
        <v>952</v>
      </c>
      <c r="AL268" s="80" t="b">
        <v>0</v>
      </c>
      <c r="AM268" s="80">
        <v>1</v>
      </c>
      <c r="AN268" s="83" t="s">
        <v>952</v>
      </c>
      <c r="AO268" s="83" t="s">
        <v>991</v>
      </c>
      <c r="AP268" s="80" t="b">
        <v>0</v>
      </c>
      <c r="AQ268" s="83" t="s">
        <v>877</v>
      </c>
      <c r="AR268" s="80" t="s">
        <v>196</v>
      </c>
      <c r="AS268" s="80">
        <v>0</v>
      </c>
      <c r="AT268" s="80">
        <v>0</v>
      </c>
      <c r="AU268" s="80"/>
      <c r="AV268" s="80"/>
      <c r="AW268" s="80"/>
      <c r="AX268" s="80"/>
      <c r="AY268" s="80"/>
      <c r="AZ268" s="80"/>
      <c r="BA268" s="80"/>
      <c r="BB268" s="80"/>
      <c r="BC268">
        <v>6</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334</v>
      </c>
      <c r="B269" s="65" t="s">
        <v>332</v>
      </c>
      <c r="C269" s="66" t="s">
        <v>2818</v>
      </c>
      <c r="D269" s="67">
        <v>10</v>
      </c>
      <c r="E269" s="66" t="s">
        <v>136</v>
      </c>
      <c r="F269" s="69">
        <v>25.5</v>
      </c>
      <c r="G269" s="66"/>
      <c r="H269" s="70"/>
      <c r="I269" s="71"/>
      <c r="J269" s="71"/>
      <c r="K269" s="35" t="s">
        <v>65</v>
      </c>
      <c r="L269" s="72">
        <v>269</v>
      </c>
      <c r="M269" s="72"/>
      <c r="N269" s="73"/>
      <c r="O269" s="80" t="s">
        <v>408</v>
      </c>
      <c r="P269" s="82">
        <v>44476.35335648148</v>
      </c>
      <c r="Q269" s="80" t="s">
        <v>431</v>
      </c>
      <c r="R269" s="85" t="str">
        <f>HYPERLINK("https://econ.trib.al/NL8KzOD")</f>
        <v>https://econ.trib.al/NL8KzOD</v>
      </c>
      <c r="S269" s="80" t="s">
        <v>528</v>
      </c>
      <c r="T269" s="80"/>
      <c r="U269" s="80"/>
      <c r="V269" s="85" t="str">
        <f>HYPERLINK("https://pbs.twimg.com/profile_images/1191749200121348096/BmfItDOa_normal.jpg")</f>
        <v>https://pbs.twimg.com/profile_images/1191749200121348096/BmfItDOa_normal.jpg</v>
      </c>
      <c r="W269" s="82">
        <v>44476.35335648148</v>
      </c>
      <c r="X269" s="87">
        <v>44476</v>
      </c>
      <c r="Y269" s="83" t="s">
        <v>693</v>
      </c>
      <c r="Z269" s="85" t="str">
        <f>HYPERLINK("https://twitter.com/oikos_solutions/status/1446029739601367041")</f>
        <v>https://twitter.com/oikos_solutions/status/1446029739601367041</v>
      </c>
      <c r="AA269" s="80"/>
      <c r="AB269" s="80"/>
      <c r="AC269" s="83" t="s">
        <v>878</v>
      </c>
      <c r="AD269" s="80"/>
      <c r="AE269" s="80" t="b">
        <v>0</v>
      </c>
      <c r="AF269" s="80">
        <v>0</v>
      </c>
      <c r="AG269" s="83" t="s">
        <v>952</v>
      </c>
      <c r="AH269" s="80" t="b">
        <v>0</v>
      </c>
      <c r="AI269" s="80" t="s">
        <v>967</v>
      </c>
      <c r="AJ269" s="80"/>
      <c r="AK269" s="83" t="s">
        <v>952</v>
      </c>
      <c r="AL269" s="80" t="b">
        <v>0</v>
      </c>
      <c r="AM269" s="80">
        <v>2</v>
      </c>
      <c r="AN269" s="83" t="s">
        <v>867</v>
      </c>
      <c r="AO269" s="83" t="s">
        <v>992</v>
      </c>
      <c r="AP269" s="80" t="b">
        <v>0</v>
      </c>
      <c r="AQ269" s="83" t="s">
        <v>867</v>
      </c>
      <c r="AR269" s="80" t="s">
        <v>196</v>
      </c>
      <c r="AS269" s="80">
        <v>0</v>
      </c>
      <c r="AT269" s="80">
        <v>0</v>
      </c>
      <c r="AU269" s="80"/>
      <c r="AV269" s="80"/>
      <c r="AW269" s="80"/>
      <c r="AX269" s="80"/>
      <c r="AY269" s="80"/>
      <c r="AZ269" s="80"/>
      <c r="BA269" s="80"/>
      <c r="BB269" s="80"/>
      <c r="BC269">
        <v>3</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334</v>
      </c>
      <c r="B270" s="65" t="s">
        <v>332</v>
      </c>
      <c r="C270" s="66" t="s">
        <v>2818</v>
      </c>
      <c r="D270" s="67">
        <v>10</v>
      </c>
      <c r="E270" s="66" t="s">
        <v>136</v>
      </c>
      <c r="F270" s="69">
        <v>25.5</v>
      </c>
      <c r="G270" s="66"/>
      <c r="H270" s="70"/>
      <c r="I270" s="71"/>
      <c r="J270" s="71"/>
      <c r="K270" s="35" t="s">
        <v>65</v>
      </c>
      <c r="L270" s="72">
        <v>270</v>
      </c>
      <c r="M270" s="72"/>
      <c r="N270" s="73"/>
      <c r="O270" s="80" t="s">
        <v>408</v>
      </c>
      <c r="P270" s="82">
        <v>44477.35403935185</v>
      </c>
      <c r="Q270" s="80" t="s">
        <v>470</v>
      </c>
      <c r="R270" s="85" t="str">
        <f>HYPERLINK("https://econ.trib.al/AoNqILv")</f>
        <v>https://econ.trib.al/AoNqILv</v>
      </c>
      <c r="S270" s="80" t="s">
        <v>528</v>
      </c>
      <c r="T270" s="80"/>
      <c r="U270" s="80"/>
      <c r="V270" s="85" t="str">
        <f>HYPERLINK("https://pbs.twimg.com/profile_images/1191749200121348096/BmfItDOa_normal.jpg")</f>
        <v>https://pbs.twimg.com/profile_images/1191749200121348096/BmfItDOa_normal.jpg</v>
      </c>
      <c r="W270" s="82">
        <v>44477.35403935185</v>
      </c>
      <c r="X270" s="87">
        <v>44477</v>
      </c>
      <c r="Y270" s="83" t="s">
        <v>694</v>
      </c>
      <c r="Z270" s="85" t="str">
        <f>HYPERLINK("https://twitter.com/oikos_solutions/status/1446392374733725702")</f>
        <v>https://twitter.com/oikos_solutions/status/1446392374733725702</v>
      </c>
      <c r="AA270" s="80"/>
      <c r="AB270" s="80"/>
      <c r="AC270" s="83" t="s">
        <v>879</v>
      </c>
      <c r="AD270" s="80"/>
      <c r="AE270" s="80" t="b">
        <v>0</v>
      </c>
      <c r="AF270" s="80">
        <v>0</v>
      </c>
      <c r="AG270" s="83" t="s">
        <v>952</v>
      </c>
      <c r="AH270" s="80" t="b">
        <v>0</v>
      </c>
      <c r="AI270" s="80" t="s">
        <v>967</v>
      </c>
      <c r="AJ270" s="80"/>
      <c r="AK270" s="83" t="s">
        <v>952</v>
      </c>
      <c r="AL270" s="80" t="b">
        <v>0</v>
      </c>
      <c r="AM270" s="80">
        <v>2</v>
      </c>
      <c r="AN270" s="83" t="s">
        <v>868</v>
      </c>
      <c r="AO270" s="83" t="s">
        <v>992</v>
      </c>
      <c r="AP270" s="80" t="b">
        <v>0</v>
      </c>
      <c r="AQ270" s="83" t="s">
        <v>868</v>
      </c>
      <c r="AR270" s="80" t="s">
        <v>196</v>
      </c>
      <c r="AS270" s="80">
        <v>0</v>
      </c>
      <c r="AT270" s="80">
        <v>0</v>
      </c>
      <c r="AU270" s="80"/>
      <c r="AV270" s="80"/>
      <c r="AW270" s="80"/>
      <c r="AX270" s="80"/>
      <c r="AY270" s="80"/>
      <c r="AZ270" s="80"/>
      <c r="BA270" s="80"/>
      <c r="BB270" s="80"/>
      <c r="BC270">
        <v>3</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334</v>
      </c>
      <c r="B271" s="65" t="s">
        <v>332</v>
      </c>
      <c r="C271" s="66" t="s">
        <v>2818</v>
      </c>
      <c r="D271" s="67">
        <v>10</v>
      </c>
      <c r="E271" s="66" t="s">
        <v>136</v>
      </c>
      <c r="F271" s="69">
        <v>25.5</v>
      </c>
      <c r="G271" s="66"/>
      <c r="H271" s="70"/>
      <c r="I271" s="71"/>
      <c r="J271" s="71"/>
      <c r="K271" s="35" t="s">
        <v>65</v>
      </c>
      <c r="L271" s="72">
        <v>271</v>
      </c>
      <c r="M271" s="72"/>
      <c r="N271" s="73"/>
      <c r="O271" s="80" t="s">
        <v>407</v>
      </c>
      <c r="P271" s="82">
        <v>44477.35425925926</v>
      </c>
      <c r="Q271" s="80" t="s">
        <v>477</v>
      </c>
      <c r="R271" s="85" t="str">
        <f>HYPERLINK("https://econ.trib.al/AoNqILv")</f>
        <v>https://econ.trib.al/AoNqILv</v>
      </c>
      <c r="S271" s="80" t="s">
        <v>528</v>
      </c>
      <c r="T271" s="80"/>
      <c r="U271" s="80"/>
      <c r="V271" s="85" t="str">
        <f>HYPERLINK("https://pbs.twimg.com/profile_images/1191749200121348096/BmfItDOa_normal.jpg")</f>
        <v>https://pbs.twimg.com/profile_images/1191749200121348096/BmfItDOa_normal.jpg</v>
      </c>
      <c r="W271" s="82">
        <v>44477.35425925926</v>
      </c>
      <c r="X271" s="87">
        <v>44477</v>
      </c>
      <c r="Y271" s="83" t="s">
        <v>695</v>
      </c>
      <c r="Z271" s="85" t="str">
        <f>HYPERLINK("https://twitter.com/oikos_solutions/status/1446392454148677642")</f>
        <v>https://twitter.com/oikos_solutions/status/1446392454148677642</v>
      </c>
      <c r="AA271" s="80"/>
      <c r="AB271" s="80"/>
      <c r="AC271" s="83" t="s">
        <v>880</v>
      </c>
      <c r="AD271" s="80"/>
      <c r="AE271" s="80" t="b">
        <v>0</v>
      </c>
      <c r="AF271" s="80">
        <v>0</v>
      </c>
      <c r="AG271" s="83" t="s">
        <v>952</v>
      </c>
      <c r="AH271" s="80" t="b">
        <v>0</v>
      </c>
      <c r="AI271" s="80" t="s">
        <v>967</v>
      </c>
      <c r="AJ271" s="80"/>
      <c r="AK271" s="83" t="s">
        <v>952</v>
      </c>
      <c r="AL271" s="80" t="b">
        <v>0</v>
      </c>
      <c r="AM271" s="80">
        <v>1</v>
      </c>
      <c r="AN271" s="83" t="s">
        <v>874</v>
      </c>
      <c r="AO271" s="83" t="s">
        <v>992</v>
      </c>
      <c r="AP271" s="80" t="b">
        <v>0</v>
      </c>
      <c r="AQ271" s="83" t="s">
        <v>874</v>
      </c>
      <c r="AR271" s="80" t="s">
        <v>196</v>
      </c>
      <c r="AS271" s="80">
        <v>0</v>
      </c>
      <c r="AT271" s="80">
        <v>0</v>
      </c>
      <c r="AU271" s="80"/>
      <c r="AV271" s="80"/>
      <c r="AW271" s="80"/>
      <c r="AX271" s="80"/>
      <c r="AY271" s="80"/>
      <c r="AZ271" s="80"/>
      <c r="BA271" s="80"/>
      <c r="BB271" s="80"/>
      <c r="BC271">
        <v>3</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334</v>
      </c>
      <c r="B272" s="65" t="s">
        <v>332</v>
      </c>
      <c r="C272" s="66" t="s">
        <v>2818</v>
      </c>
      <c r="D272" s="67">
        <v>10</v>
      </c>
      <c r="E272" s="66" t="s">
        <v>136</v>
      </c>
      <c r="F272" s="69">
        <v>25.5</v>
      </c>
      <c r="G272" s="66"/>
      <c r="H272" s="70"/>
      <c r="I272" s="71"/>
      <c r="J272" s="71"/>
      <c r="K272" s="35" t="s">
        <v>65</v>
      </c>
      <c r="L272" s="72">
        <v>272</v>
      </c>
      <c r="M272" s="72"/>
      <c r="N272" s="73"/>
      <c r="O272" s="80" t="s">
        <v>408</v>
      </c>
      <c r="P272" s="82">
        <v>44479.353738425925</v>
      </c>
      <c r="Q272" s="80" t="s">
        <v>473</v>
      </c>
      <c r="R272" s="85" t="str">
        <f>HYPERLINK("https://econ.trib.al/fJkeRl8")</f>
        <v>https://econ.trib.al/fJkeRl8</v>
      </c>
      <c r="S272" s="80" t="s">
        <v>528</v>
      </c>
      <c r="T272" s="80"/>
      <c r="U272" s="80"/>
      <c r="V272" s="85" t="str">
        <f>HYPERLINK("https://pbs.twimg.com/profile_images/1191749200121348096/BmfItDOa_normal.jpg")</f>
        <v>https://pbs.twimg.com/profile_images/1191749200121348096/BmfItDOa_normal.jpg</v>
      </c>
      <c r="W272" s="82">
        <v>44479.353738425925</v>
      </c>
      <c r="X272" s="87">
        <v>44479</v>
      </c>
      <c r="Y272" s="83" t="s">
        <v>696</v>
      </c>
      <c r="Z272" s="85" t="str">
        <f>HYPERLINK("https://twitter.com/oikos_solutions/status/1447117042851749890")</f>
        <v>https://twitter.com/oikos_solutions/status/1447117042851749890</v>
      </c>
      <c r="AA272" s="80"/>
      <c r="AB272" s="80"/>
      <c r="AC272" s="83" t="s">
        <v>881</v>
      </c>
      <c r="AD272" s="80"/>
      <c r="AE272" s="80" t="b">
        <v>0</v>
      </c>
      <c r="AF272" s="80">
        <v>0</v>
      </c>
      <c r="AG272" s="83" t="s">
        <v>952</v>
      </c>
      <c r="AH272" s="80" t="b">
        <v>0</v>
      </c>
      <c r="AI272" s="80" t="s">
        <v>967</v>
      </c>
      <c r="AJ272" s="80"/>
      <c r="AK272" s="83" t="s">
        <v>952</v>
      </c>
      <c r="AL272" s="80" t="b">
        <v>0</v>
      </c>
      <c r="AM272" s="80">
        <v>1</v>
      </c>
      <c r="AN272" s="83" t="s">
        <v>870</v>
      </c>
      <c r="AO272" s="83" t="s">
        <v>992</v>
      </c>
      <c r="AP272" s="80" t="b">
        <v>0</v>
      </c>
      <c r="AQ272" s="83" t="s">
        <v>870</v>
      </c>
      <c r="AR272" s="80" t="s">
        <v>196</v>
      </c>
      <c r="AS272" s="80">
        <v>0</v>
      </c>
      <c r="AT272" s="80">
        <v>0</v>
      </c>
      <c r="AU272" s="80"/>
      <c r="AV272" s="80"/>
      <c r="AW272" s="80"/>
      <c r="AX272" s="80"/>
      <c r="AY272" s="80"/>
      <c r="AZ272" s="80"/>
      <c r="BA272" s="80"/>
      <c r="BB272" s="80"/>
      <c r="BC272">
        <v>3</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334</v>
      </c>
      <c r="B273" s="65" t="s">
        <v>332</v>
      </c>
      <c r="C273" s="66" t="s">
        <v>2818</v>
      </c>
      <c r="D273" s="67">
        <v>10</v>
      </c>
      <c r="E273" s="66" t="s">
        <v>136</v>
      </c>
      <c r="F273" s="69">
        <v>25.5</v>
      </c>
      <c r="G273" s="66"/>
      <c r="H273" s="70"/>
      <c r="I273" s="71"/>
      <c r="J273" s="71"/>
      <c r="K273" s="35" t="s">
        <v>65</v>
      </c>
      <c r="L273" s="72">
        <v>273</v>
      </c>
      <c r="M273" s="72"/>
      <c r="N273" s="73"/>
      <c r="O273" s="80" t="s">
        <v>407</v>
      </c>
      <c r="P273" s="82">
        <v>44479.35407407407</v>
      </c>
      <c r="Q273" s="80" t="s">
        <v>479</v>
      </c>
      <c r="R273" s="85" t="str">
        <f>HYPERLINK("https://econ.trib.al/fJkeRl8")</f>
        <v>https://econ.trib.al/fJkeRl8</v>
      </c>
      <c r="S273" s="80" t="s">
        <v>528</v>
      </c>
      <c r="T273" s="80"/>
      <c r="U273" s="80"/>
      <c r="V273" s="85" t="str">
        <f>HYPERLINK("https://pbs.twimg.com/profile_images/1191749200121348096/BmfItDOa_normal.jpg")</f>
        <v>https://pbs.twimg.com/profile_images/1191749200121348096/BmfItDOa_normal.jpg</v>
      </c>
      <c r="W273" s="82">
        <v>44479.35407407407</v>
      </c>
      <c r="X273" s="87">
        <v>44479</v>
      </c>
      <c r="Y273" s="83" t="s">
        <v>697</v>
      </c>
      <c r="Z273" s="85" t="str">
        <f>HYPERLINK("https://twitter.com/oikos_solutions/status/1447117163072999424")</f>
        <v>https://twitter.com/oikos_solutions/status/1447117163072999424</v>
      </c>
      <c r="AA273" s="80"/>
      <c r="AB273" s="80"/>
      <c r="AC273" s="83" t="s">
        <v>882</v>
      </c>
      <c r="AD273" s="80"/>
      <c r="AE273" s="80" t="b">
        <v>0</v>
      </c>
      <c r="AF273" s="80">
        <v>0</v>
      </c>
      <c r="AG273" s="83" t="s">
        <v>952</v>
      </c>
      <c r="AH273" s="80" t="b">
        <v>0</v>
      </c>
      <c r="AI273" s="80" t="s">
        <v>967</v>
      </c>
      <c r="AJ273" s="80"/>
      <c r="AK273" s="83" t="s">
        <v>952</v>
      </c>
      <c r="AL273" s="80" t="b">
        <v>0</v>
      </c>
      <c r="AM273" s="80">
        <v>1</v>
      </c>
      <c r="AN273" s="83" t="s">
        <v>876</v>
      </c>
      <c r="AO273" s="83" t="s">
        <v>992</v>
      </c>
      <c r="AP273" s="80" t="b">
        <v>0</v>
      </c>
      <c r="AQ273" s="83" t="s">
        <v>876</v>
      </c>
      <c r="AR273" s="80" t="s">
        <v>196</v>
      </c>
      <c r="AS273" s="80">
        <v>0</v>
      </c>
      <c r="AT273" s="80">
        <v>0</v>
      </c>
      <c r="AU273" s="80"/>
      <c r="AV273" s="80"/>
      <c r="AW273" s="80"/>
      <c r="AX273" s="80"/>
      <c r="AY273" s="80"/>
      <c r="AZ273" s="80"/>
      <c r="BA273" s="80"/>
      <c r="BB273" s="80"/>
      <c r="BC273">
        <v>3</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334</v>
      </c>
      <c r="B274" s="65" t="s">
        <v>332</v>
      </c>
      <c r="C274" s="66" t="s">
        <v>2818</v>
      </c>
      <c r="D274" s="67">
        <v>10</v>
      </c>
      <c r="E274" s="66" t="s">
        <v>136</v>
      </c>
      <c r="F274" s="69">
        <v>25.5</v>
      </c>
      <c r="G274" s="66"/>
      <c r="H274" s="70"/>
      <c r="I274" s="71"/>
      <c r="J274" s="71"/>
      <c r="K274" s="35" t="s">
        <v>65</v>
      </c>
      <c r="L274" s="72">
        <v>274</v>
      </c>
      <c r="M274" s="72"/>
      <c r="N274" s="73"/>
      <c r="O274" s="80" t="s">
        <v>407</v>
      </c>
      <c r="P274" s="82">
        <v>44480.35335648148</v>
      </c>
      <c r="Q274" s="80" t="s">
        <v>480</v>
      </c>
      <c r="R274" s="85" t="str">
        <f>HYPERLINK("https://econ.trib.al/6yo11AH")</f>
        <v>https://econ.trib.al/6yo11AH</v>
      </c>
      <c r="S274" s="80" t="s">
        <v>528</v>
      </c>
      <c r="T274" s="80"/>
      <c r="U274" s="80"/>
      <c r="V274" s="85" t="str">
        <f>HYPERLINK("https://pbs.twimg.com/profile_images/1191749200121348096/BmfItDOa_normal.jpg")</f>
        <v>https://pbs.twimg.com/profile_images/1191749200121348096/BmfItDOa_normal.jpg</v>
      </c>
      <c r="W274" s="82">
        <v>44480.35335648148</v>
      </c>
      <c r="X274" s="87">
        <v>44480</v>
      </c>
      <c r="Y274" s="83" t="s">
        <v>693</v>
      </c>
      <c r="Z274" s="85" t="str">
        <f>HYPERLINK("https://twitter.com/oikos_solutions/status/1447479289088253952")</f>
        <v>https://twitter.com/oikos_solutions/status/1447479289088253952</v>
      </c>
      <c r="AA274" s="80"/>
      <c r="AB274" s="80"/>
      <c r="AC274" s="83" t="s">
        <v>883</v>
      </c>
      <c r="AD274" s="80"/>
      <c r="AE274" s="80" t="b">
        <v>0</v>
      </c>
      <c r="AF274" s="80">
        <v>0</v>
      </c>
      <c r="AG274" s="83" t="s">
        <v>952</v>
      </c>
      <c r="AH274" s="80" t="b">
        <v>0</v>
      </c>
      <c r="AI274" s="80" t="s">
        <v>967</v>
      </c>
      <c r="AJ274" s="80"/>
      <c r="AK274" s="83" t="s">
        <v>952</v>
      </c>
      <c r="AL274" s="80" t="b">
        <v>0</v>
      </c>
      <c r="AM274" s="80">
        <v>1</v>
      </c>
      <c r="AN274" s="83" t="s">
        <v>877</v>
      </c>
      <c r="AO274" s="83" t="s">
        <v>992</v>
      </c>
      <c r="AP274" s="80" t="b">
        <v>0</v>
      </c>
      <c r="AQ274" s="83" t="s">
        <v>877</v>
      </c>
      <c r="AR274" s="80" t="s">
        <v>196</v>
      </c>
      <c r="AS274" s="80">
        <v>0</v>
      </c>
      <c r="AT274" s="80">
        <v>0</v>
      </c>
      <c r="AU274" s="80"/>
      <c r="AV274" s="80"/>
      <c r="AW274" s="80"/>
      <c r="AX274" s="80"/>
      <c r="AY274" s="80"/>
      <c r="AZ274" s="80"/>
      <c r="BA274" s="80"/>
      <c r="BB274" s="80"/>
      <c r="BC274">
        <v>3</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333</v>
      </c>
      <c r="B275" s="65" t="s">
        <v>377</v>
      </c>
      <c r="C275" s="66" t="s">
        <v>2817</v>
      </c>
      <c r="D275" s="67">
        <v>10</v>
      </c>
      <c r="E275" s="66" t="s">
        <v>136</v>
      </c>
      <c r="F275" s="69">
        <v>15.75</v>
      </c>
      <c r="G275" s="66"/>
      <c r="H275" s="70"/>
      <c r="I275" s="71"/>
      <c r="J275" s="71"/>
      <c r="K275" s="35" t="s">
        <v>65</v>
      </c>
      <c r="L275" s="72">
        <v>275</v>
      </c>
      <c r="M275" s="72"/>
      <c r="N275" s="73"/>
      <c r="O275" s="80" t="s">
        <v>406</v>
      </c>
      <c r="P275" s="82">
        <v>44475.33678240741</v>
      </c>
      <c r="Q275" s="80" t="s">
        <v>475</v>
      </c>
      <c r="R275" s="85" t="str">
        <f>HYPERLINK("https://econ.trib.al/BfqdN5n")</f>
        <v>https://econ.trib.al/BfqdN5n</v>
      </c>
      <c r="S275" s="80" t="s">
        <v>528</v>
      </c>
      <c r="T275" s="80"/>
      <c r="U275" s="80"/>
      <c r="V275" s="85" t="str">
        <f>HYPERLINK("https://pbs.twimg.com/profile_images/1354343790060969990/Fqw5w_P0_normal.jpg")</f>
        <v>https://pbs.twimg.com/profile_images/1354343790060969990/Fqw5w_P0_normal.jpg</v>
      </c>
      <c r="W275" s="82">
        <v>44475.33678240741</v>
      </c>
      <c r="X275" s="87">
        <v>44475</v>
      </c>
      <c r="Y275" s="83" t="s">
        <v>687</v>
      </c>
      <c r="Z275" s="85" t="str">
        <f>HYPERLINK("https://twitter.com/jfrusci/status/1445661345777475584")</f>
        <v>https://twitter.com/jfrusci/status/1445661345777475584</v>
      </c>
      <c r="AA275" s="80"/>
      <c r="AB275" s="80"/>
      <c r="AC275" s="83" t="s">
        <v>872</v>
      </c>
      <c r="AD275" s="80"/>
      <c r="AE275" s="80" t="b">
        <v>0</v>
      </c>
      <c r="AF275" s="80">
        <v>0</v>
      </c>
      <c r="AG275" s="83" t="s">
        <v>952</v>
      </c>
      <c r="AH275" s="80" t="b">
        <v>0</v>
      </c>
      <c r="AI275" s="80" t="s">
        <v>967</v>
      </c>
      <c r="AJ275" s="80"/>
      <c r="AK275" s="83" t="s">
        <v>952</v>
      </c>
      <c r="AL275" s="80" t="b">
        <v>0</v>
      </c>
      <c r="AM275" s="80">
        <v>0</v>
      </c>
      <c r="AN275" s="83" t="s">
        <v>952</v>
      </c>
      <c r="AO275" s="83" t="s">
        <v>991</v>
      </c>
      <c r="AP275" s="80" t="b">
        <v>0</v>
      </c>
      <c r="AQ275" s="83" t="s">
        <v>872</v>
      </c>
      <c r="AR275" s="80" t="s">
        <v>196</v>
      </c>
      <c r="AS275" s="80">
        <v>0</v>
      </c>
      <c r="AT275" s="80">
        <v>0</v>
      </c>
      <c r="AU275" s="80"/>
      <c r="AV275" s="80"/>
      <c r="AW275" s="80"/>
      <c r="AX275" s="80"/>
      <c r="AY275" s="80"/>
      <c r="AZ275" s="80"/>
      <c r="BA275" s="80"/>
      <c r="BB275" s="80"/>
      <c r="BC275">
        <v>6</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333</v>
      </c>
      <c r="B276" s="65" t="s">
        <v>331</v>
      </c>
      <c r="C276" s="66" t="s">
        <v>2817</v>
      </c>
      <c r="D276" s="67">
        <v>10</v>
      </c>
      <c r="E276" s="66" t="s">
        <v>136</v>
      </c>
      <c r="F276" s="69">
        <v>15.75</v>
      </c>
      <c r="G276" s="66"/>
      <c r="H276" s="70"/>
      <c r="I276" s="71"/>
      <c r="J276" s="71"/>
      <c r="K276" s="35" t="s">
        <v>65</v>
      </c>
      <c r="L276" s="72">
        <v>276</v>
      </c>
      <c r="M276" s="72"/>
      <c r="N276" s="73"/>
      <c r="O276" s="80" t="s">
        <v>406</v>
      </c>
      <c r="P276" s="82">
        <v>44475.33678240741</v>
      </c>
      <c r="Q276" s="80" t="s">
        <v>475</v>
      </c>
      <c r="R276" s="85" t="str">
        <f>HYPERLINK("https://econ.trib.al/BfqdN5n")</f>
        <v>https://econ.trib.al/BfqdN5n</v>
      </c>
      <c r="S276" s="80" t="s">
        <v>528</v>
      </c>
      <c r="T276" s="80"/>
      <c r="U276" s="80"/>
      <c r="V276" s="85" t="str">
        <f>HYPERLINK("https://pbs.twimg.com/profile_images/1354343790060969990/Fqw5w_P0_normal.jpg")</f>
        <v>https://pbs.twimg.com/profile_images/1354343790060969990/Fqw5w_P0_normal.jpg</v>
      </c>
      <c r="W276" s="82">
        <v>44475.33678240741</v>
      </c>
      <c r="X276" s="87">
        <v>44475</v>
      </c>
      <c r="Y276" s="83" t="s">
        <v>687</v>
      </c>
      <c r="Z276" s="85" t="str">
        <f>HYPERLINK("https://twitter.com/jfrusci/status/1445661345777475584")</f>
        <v>https://twitter.com/jfrusci/status/1445661345777475584</v>
      </c>
      <c r="AA276" s="80"/>
      <c r="AB276" s="80"/>
      <c r="AC276" s="83" t="s">
        <v>872</v>
      </c>
      <c r="AD276" s="80"/>
      <c r="AE276" s="80" t="b">
        <v>0</v>
      </c>
      <c r="AF276" s="80">
        <v>0</v>
      </c>
      <c r="AG276" s="83" t="s">
        <v>952</v>
      </c>
      <c r="AH276" s="80" t="b">
        <v>0</v>
      </c>
      <c r="AI276" s="80" t="s">
        <v>967</v>
      </c>
      <c r="AJ276" s="80"/>
      <c r="AK276" s="83" t="s">
        <v>952</v>
      </c>
      <c r="AL276" s="80" t="b">
        <v>0</v>
      </c>
      <c r="AM276" s="80">
        <v>0</v>
      </c>
      <c r="AN276" s="83" t="s">
        <v>952</v>
      </c>
      <c r="AO276" s="83" t="s">
        <v>991</v>
      </c>
      <c r="AP276" s="80" t="b">
        <v>0</v>
      </c>
      <c r="AQ276" s="83" t="s">
        <v>872</v>
      </c>
      <c r="AR276" s="80" t="s">
        <v>196</v>
      </c>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333</v>
      </c>
      <c r="B277" s="65" t="s">
        <v>378</v>
      </c>
      <c r="C277" s="66" t="s">
        <v>2817</v>
      </c>
      <c r="D277" s="67">
        <v>10</v>
      </c>
      <c r="E277" s="66" t="s">
        <v>136</v>
      </c>
      <c r="F277" s="69">
        <v>15.75</v>
      </c>
      <c r="G277" s="66"/>
      <c r="H277" s="70"/>
      <c r="I277" s="71"/>
      <c r="J277" s="71"/>
      <c r="K277" s="35" t="s">
        <v>65</v>
      </c>
      <c r="L277" s="72">
        <v>277</v>
      </c>
      <c r="M277" s="72"/>
      <c r="N277" s="73"/>
      <c r="O277" s="80" t="s">
        <v>406</v>
      </c>
      <c r="P277" s="82">
        <v>44475.33678240741</v>
      </c>
      <c r="Q277" s="80" t="s">
        <v>475</v>
      </c>
      <c r="R277" s="85" t="str">
        <f>HYPERLINK("https://econ.trib.al/BfqdN5n")</f>
        <v>https://econ.trib.al/BfqdN5n</v>
      </c>
      <c r="S277" s="80" t="s">
        <v>528</v>
      </c>
      <c r="T277" s="80"/>
      <c r="U277" s="80"/>
      <c r="V277" s="85" t="str">
        <f>HYPERLINK("https://pbs.twimg.com/profile_images/1354343790060969990/Fqw5w_P0_normal.jpg")</f>
        <v>https://pbs.twimg.com/profile_images/1354343790060969990/Fqw5w_P0_normal.jpg</v>
      </c>
      <c r="W277" s="82">
        <v>44475.33678240741</v>
      </c>
      <c r="X277" s="87">
        <v>44475</v>
      </c>
      <c r="Y277" s="83" t="s">
        <v>687</v>
      </c>
      <c r="Z277" s="85" t="str">
        <f>HYPERLINK("https://twitter.com/jfrusci/status/1445661345777475584")</f>
        <v>https://twitter.com/jfrusci/status/1445661345777475584</v>
      </c>
      <c r="AA277" s="80"/>
      <c r="AB277" s="80"/>
      <c r="AC277" s="83" t="s">
        <v>872</v>
      </c>
      <c r="AD277" s="80"/>
      <c r="AE277" s="80" t="b">
        <v>0</v>
      </c>
      <c r="AF277" s="80">
        <v>0</v>
      </c>
      <c r="AG277" s="83" t="s">
        <v>952</v>
      </c>
      <c r="AH277" s="80" t="b">
        <v>0</v>
      </c>
      <c r="AI277" s="80" t="s">
        <v>967</v>
      </c>
      <c r="AJ277" s="80"/>
      <c r="AK277" s="83" t="s">
        <v>952</v>
      </c>
      <c r="AL277" s="80" t="b">
        <v>0</v>
      </c>
      <c r="AM277" s="80">
        <v>0</v>
      </c>
      <c r="AN277" s="83" t="s">
        <v>952</v>
      </c>
      <c r="AO277" s="83" t="s">
        <v>991</v>
      </c>
      <c r="AP277" s="80" t="b">
        <v>0</v>
      </c>
      <c r="AQ277" s="83" t="s">
        <v>872</v>
      </c>
      <c r="AR277" s="80" t="s">
        <v>196</v>
      </c>
      <c r="AS277" s="80">
        <v>0</v>
      </c>
      <c r="AT277" s="80">
        <v>0</v>
      </c>
      <c r="AU277" s="80"/>
      <c r="AV277" s="80"/>
      <c r="AW277" s="80"/>
      <c r="AX277" s="80"/>
      <c r="AY277" s="80"/>
      <c r="AZ277" s="80"/>
      <c r="BA277" s="80"/>
      <c r="BB277" s="80"/>
      <c r="BC277">
        <v>6</v>
      </c>
      <c r="BD277" s="79" t="str">
        <f>REPLACE(INDEX(GroupVertices[Group],MATCH(Edges[[#This Row],[Vertex 1]],GroupVertices[Vertex],0)),1,1,"")</f>
        <v>1</v>
      </c>
      <c r="BE277" s="79" t="str">
        <f>REPLACE(INDEX(GroupVertices[Group],MATCH(Edges[[#This Row],[Vertex 2]],GroupVertices[Vertex],0)),1,1,"")</f>
        <v>1</v>
      </c>
      <c r="BF277" s="49">
        <v>0</v>
      </c>
      <c r="BG277" s="50">
        <v>0</v>
      </c>
      <c r="BH277" s="49">
        <v>0</v>
      </c>
      <c r="BI277" s="50">
        <v>0</v>
      </c>
      <c r="BJ277" s="49">
        <v>0</v>
      </c>
      <c r="BK277" s="50">
        <v>0</v>
      </c>
      <c r="BL277" s="49">
        <v>36</v>
      </c>
      <c r="BM277" s="50">
        <v>100</v>
      </c>
      <c r="BN277" s="49">
        <v>36</v>
      </c>
    </row>
    <row r="278" spans="1:66" ht="15">
      <c r="A278" s="65" t="s">
        <v>333</v>
      </c>
      <c r="B278" s="65" t="s">
        <v>377</v>
      </c>
      <c r="C278" s="66" t="s">
        <v>2817</v>
      </c>
      <c r="D278" s="67">
        <v>10</v>
      </c>
      <c r="E278" s="66" t="s">
        <v>136</v>
      </c>
      <c r="F278" s="69">
        <v>15.75</v>
      </c>
      <c r="G278" s="66"/>
      <c r="H278" s="70"/>
      <c r="I278" s="71"/>
      <c r="J278" s="71"/>
      <c r="K278" s="35" t="s">
        <v>65</v>
      </c>
      <c r="L278" s="72">
        <v>278</v>
      </c>
      <c r="M278" s="72"/>
      <c r="N278" s="73"/>
      <c r="O278" s="80" t="s">
        <v>406</v>
      </c>
      <c r="P278" s="82">
        <v>44476.33560185185</v>
      </c>
      <c r="Q278" s="80" t="s">
        <v>476</v>
      </c>
      <c r="R278" s="85" t="str">
        <f>HYPERLINK("https://econ.trib.al/NL8KzOD")</f>
        <v>https://econ.trib.al/NL8KzOD</v>
      </c>
      <c r="S278" s="80" t="s">
        <v>528</v>
      </c>
      <c r="T278" s="80"/>
      <c r="U278" s="80"/>
      <c r="V278" s="85" t="str">
        <f>HYPERLINK("https://pbs.twimg.com/profile_images/1354343790060969990/Fqw5w_P0_normal.jpg")</f>
        <v>https://pbs.twimg.com/profile_images/1354343790060969990/Fqw5w_P0_normal.jpg</v>
      </c>
      <c r="W278" s="82">
        <v>44476.33560185185</v>
      </c>
      <c r="X278" s="87">
        <v>44476</v>
      </c>
      <c r="Y278" s="83" t="s">
        <v>688</v>
      </c>
      <c r="Z278" s="85" t="str">
        <f>HYPERLINK("https://twitter.com/jfrusci/status/1446023305828372481")</f>
        <v>https://twitter.com/jfrusci/status/1446023305828372481</v>
      </c>
      <c r="AA278" s="80"/>
      <c r="AB278" s="80"/>
      <c r="AC278" s="83" t="s">
        <v>873</v>
      </c>
      <c r="AD278" s="80"/>
      <c r="AE278" s="80" t="b">
        <v>0</v>
      </c>
      <c r="AF278" s="80">
        <v>0</v>
      </c>
      <c r="AG278" s="83" t="s">
        <v>952</v>
      </c>
      <c r="AH278" s="80" t="b">
        <v>0</v>
      </c>
      <c r="AI278" s="80" t="s">
        <v>967</v>
      </c>
      <c r="AJ278" s="80"/>
      <c r="AK278" s="83" t="s">
        <v>952</v>
      </c>
      <c r="AL278" s="80" t="b">
        <v>0</v>
      </c>
      <c r="AM278" s="80">
        <v>0</v>
      </c>
      <c r="AN278" s="83" t="s">
        <v>952</v>
      </c>
      <c r="AO278" s="83" t="s">
        <v>991</v>
      </c>
      <c r="AP278" s="80" t="b">
        <v>0</v>
      </c>
      <c r="AQ278" s="83" t="s">
        <v>873</v>
      </c>
      <c r="AR278" s="80" t="s">
        <v>196</v>
      </c>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333</v>
      </c>
      <c r="B279" s="65" t="s">
        <v>331</v>
      </c>
      <c r="C279" s="66" t="s">
        <v>2817</v>
      </c>
      <c r="D279" s="67">
        <v>10</v>
      </c>
      <c r="E279" s="66" t="s">
        <v>136</v>
      </c>
      <c r="F279" s="69">
        <v>15.75</v>
      </c>
      <c r="G279" s="66"/>
      <c r="H279" s="70"/>
      <c r="I279" s="71"/>
      <c r="J279" s="71"/>
      <c r="K279" s="35" t="s">
        <v>65</v>
      </c>
      <c r="L279" s="72">
        <v>279</v>
      </c>
      <c r="M279" s="72"/>
      <c r="N279" s="73"/>
      <c r="O279" s="80" t="s">
        <v>406</v>
      </c>
      <c r="P279" s="82">
        <v>44476.33560185185</v>
      </c>
      <c r="Q279" s="80" t="s">
        <v>476</v>
      </c>
      <c r="R279" s="85" t="str">
        <f>HYPERLINK("https://econ.trib.al/NL8KzOD")</f>
        <v>https://econ.trib.al/NL8KzOD</v>
      </c>
      <c r="S279" s="80" t="s">
        <v>528</v>
      </c>
      <c r="T279" s="80"/>
      <c r="U279" s="80"/>
      <c r="V279" s="85" t="str">
        <f>HYPERLINK("https://pbs.twimg.com/profile_images/1354343790060969990/Fqw5w_P0_normal.jpg")</f>
        <v>https://pbs.twimg.com/profile_images/1354343790060969990/Fqw5w_P0_normal.jpg</v>
      </c>
      <c r="W279" s="82">
        <v>44476.33560185185</v>
      </c>
      <c r="X279" s="87">
        <v>44476</v>
      </c>
      <c r="Y279" s="83" t="s">
        <v>688</v>
      </c>
      <c r="Z279" s="85" t="str">
        <f>HYPERLINK("https://twitter.com/jfrusci/status/1446023305828372481")</f>
        <v>https://twitter.com/jfrusci/status/1446023305828372481</v>
      </c>
      <c r="AA279" s="80"/>
      <c r="AB279" s="80"/>
      <c r="AC279" s="83" t="s">
        <v>873</v>
      </c>
      <c r="AD279" s="80"/>
      <c r="AE279" s="80" t="b">
        <v>0</v>
      </c>
      <c r="AF279" s="80">
        <v>0</v>
      </c>
      <c r="AG279" s="83" t="s">
        <v>952</v>
      </c>
      <c r="AH279" s="80" t="b">
        <v>0</v>
      </c>
      <c r="AI279" s="80" t="s">
        <v>967</v>
      </c>
      <c r="AJ279" s="80"/>
      <c r="AK279" s="83" t="s">
        <v>952</v>
      </c>
      <c r="AL279" s="80" t="b">
        <v>0</v>
      </c>
      <c r="AM279" s="80">
        <v>0</v>
      </c>
      <c r="AN279" s="83" t="s">
        <v>952</v>
      </c>
      <c r="AO279" s="83" t="s">
        <v>991</v>
      </c>
      <c r="AP279" s="80" t="b">
        <v>0</v>
      </c>
      <c r="AQ279" s="83" t="s">
        <v>873</v>
      </c>
      <c r="AR279" s="80" t="s">
        <v>196</v>
      </c>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333</v>
      </c>
      <c r="B280" s="65" t="s">
        <v>378</v>
      </c>
      <c r="C280" s="66" t="s">
        <v>2817</v>
      </c>
      <c r="D280" s="67">
        <v>10</v>
      </c>
      <c r="E280" s="66" t="s">
        <v>136</v>
      </c>
      <c r="F280" s="69">
        <v>15.75</v>
      </c>
      <c r="G280" s="66"/>
      <c r="H280" s="70"/>
      <c r="I280" s="71"/>
      <c r="J280" s="71"/>
      <c r="K280" s="35" t="s">
        <v>65</v>
      </c>
      <c r="L280" s="72">
        <v>280</v>
      </c>
      <c r="M280" s="72"/>
      <c r="N280" s="73"/>
      <c r="O280" s="80" t="s">
        <v>406</v>
      </c>
      <c r="P280" s="82">
        <v>44476.33560185185</v>
      </c>
      <c r="Q280" s="80" t="s">
        <v>476</v>
      </c>
      <c r="R280" s="85" t="str">
        <f>HYPERLINK("https://econ.trib.al/NL8KzOD")</f>
        <v>https://econ.trib.al/NL8KzOD</v>
      </c>
      <c r="S280" s="80" t="s">
        <v>528</v>
      </c>
      <c r="T280" s="80"/>
      <c r="U280" s="80"/>
      <c r="V280" s="85" t="str">
        <f>HYPERLINK("https://pbs.twimg.com/profile_images/1354343790060969990/Fqw5w_P0_normal.jpg")</f>
        <v>https://pbs.twimg.com/profile_images/1354343790060969990/Fqw5w_P0_normal.jpg</v>
      </c>
      <c r="W280" s="82">
        <v>44476.33560185185</v>
      </c>
      <c r="X280" s="87">
        <v>44476</v>
      </c>
      <c r="Y280" s="83" t="s">
        <v>688</v>
      </c>
      <c r="Z280" s="85" t="str">
        <f>HYPERLINK("https://twitter.com/jfrusci/status/1446023305828372481")</f>
        <v>https://twitter.com/jfrusci/status/1446023305828372481</v>
      </c>
      <c r="AA280" s="80"/>
      <c r="AB280" s="80"/>
      <c r="AC280" s="83" t="s">
        <v>873</v>
      </c>
      <c r="AD280" s="80"/>
      <c r="AE280" s="80" t="b">
        <v>0</v>
      </c>
      <c r="AF280" s="80">
        <v>0</v>
      </c>
      <c r="AG280" s="83" t="s">
        <v>952</v>
      </c>
      <c r="AH280" s="80" t="b">
        <v>0</v>
      </c>
      <c r="AI280" s="80" t="s">
        <v>967</v>
      </c>
      <c r="AJ280" s="80"/>
      <c r="AK280" s="83" t="s">
        <v>952</v>
      </c>
      <c r="AL280" s="80" t="b">
        <v>0</v>
      </c>
      <c r="AM280" s="80">
        <v>0</v>
      </c>
      <c r="AN280" s="83" t="s">
        <v>952</v>
      </c>
      <c r="AO280" s="83" t="s">
        <v>991</v>
      </c>
      <c r="AP280" s="80" t="b">
        <v>0</v>
      </c>
      <c r="AQ280" s="83" t="s">
        <v>873</v>
      </c>
      <c r="AR280" s="80" t="s">
        <v>196</v>
      </c>
      <c r="AS280" s="80">
        <v>0</v>
      </c>
      <c r="AT280" s="80">
        <v>0</v>
      </c>
      <c r="AU280" s="80"/>
      <c r="AV280" s="80"/>
      <c r="AW280" s="80"/>
      <c r="AX280" s="80"/>
      <c r="AY280" s="80"/>
      <c r="AZ280" s="80"/>
      <c r="BA280" s="80"/>
      <c r="BB280" s="80"/>
      <c r="BC280">
        <v>6</v>
      </c>
      <c r="BD280" s="79" t="str">
        <f>REPLACE(INDEX(GroupVertices[Group],MATCH(Edges[[#This Row],[Vertex 1]],GroupVertices[Vertex],0)),1,1,"")</f>
        <v>1</v>
      </c>
      <c r="BE280" s="79" t="str">
        <f>REPLACE(INDEX(GroupVertices[Group],MATCH(Edges[[#This Row],[Vertex 2]],GroupVertices[Vertex],0)),1,1,"")</f>
        <v>1</v>
      </c>
      <c r="BF280" s="49">
        <v>0</v>
      </c>
      <c r="BG280" s="50">
        <v>0</v>
      </c>
      <c r="BH280" s="49">
        <v>0</v>
      </c>
      <c r="BI280" s="50">
        <v>0</v>
      </c>
      <c r="BJ280" s="49">
        <v>0</v>
      </c>
      <c r="BK280" s="50">
        <v>0</v>
      </c>
      <c r="BL280" s="49">
        <v>36</v>
      </c>
      <c r="BM280" s="50">
        <v>100</v>
      </c>
      <c r="BN280" s="49">
        <v>36</v>
      </c>
    </row>
    <row r="281" spans="1:66" ht="15">
      <c r="A281" s="65" t="s">
        <v>333</v>
      </c>
      <c r="B281" s="65" t="s">
        <v>377</v>
      </c>
      <c r="C281" s="66" t="s">
        <v>2817</v>
      </c>
      <c r="D281" s="67">
        <v>10</v>
      </c>
      <c r="E281" s="66" t="s">
        <v>136</v>
      </c>
      <c r="F281" s="69">
        <v>15.75</v>
      </c>
      <c r="G281" s="66"/>
      <c r="H281" s="70"/>
      <c r="I281" s="71"/>
      <c r="J281" s="71"/>
      <c r="K281" s="35" t="s">
        <v>65</v>
      </c>
      <c r="L281" s="72">
        <v>281</v>
      </c>
      <c r="M281" s="72"/>
      <c r="N281" s="73"/>
      <c r="O281" s="80" t="s">
        <v>406</v>
      </c>
      <c r="P281" s="82">
        <v>44477.33628472222</v>
      </c>
      <c r="Q281" s="80" t="s">
        <v>477</v>
      </c>
      <c r="R281" s="85" t="str">
        <f>HYPERLINK("https://econ.trib.al/AoNqILv")</f>
        <v>https://econ.trib.al/AoNqILv</v>
      </c>
      <c r="S281" s="80" t="s">
        <v>528</v>
      </c>
      <c r="T281" s="80"/>
      <c r="U281" s="80"/>
      <c r="V281" s="85" t="str">
        <f>HYPERLINK("https://pbs.twimg.com/profile_images/1354343790060969990/Fqw5w_P0_normal.jpg")</f>
        <v>https://pbs.twimg.com/profile_images/1354343790060969990/Fqw5w_P0_normal.jpg</v>
      </c>
      <c r="W281" s="82">
        <v>44477.33628472222</v>
      </c>
      <c r="X281" s="87">
        <v>44477</v>
      </c>
      <c r="Y281" s="83" t="s">
        <v>689</v>
      </c>
      <c r="Z281" s="85" t="str">
        <f>HYPERLINK("https://twitter.com/jfrusci/status/1446385941086679076")</f>
        <v>https://twitter.com/jfrusci/status/1446385941086679076</v>
      </c>
      <c r="AA281" s="80"/>
      <c r="AB281" s="80"/>
      <c r="AC281" s="83" t="s">
        <v>874</v>
      </c>
      <c r="AD281" s="80"/>
      <c r="AE281" s="80" t="b">
        <v>0</v>
      </c>
      <c r="AF281" s="80">
        <v>2</v>
      </c>
      <c r="AG281" s="83" t="s">
        <v>952</v>
      </c>
      <c r="AH281" s="80" t="b">
        <v>0</v>
      </c>
      <c r="AI281" s="80" t="s">
        <v>967</v>
      </c>
      <c r="AJ281" s="80"/>
      <c r="AK281" s="83" t="s">
        <v>952</v>
      </c>
      <c r="AL281" s="80" t="b">
        <v>0</v>
      </c>
      <c r="AM281" s="80">
        <v>1</v>
      </c>
      <c r="AN281" s="83" t="s">
        <v>952</v>
      </c>
      <c r="AO281" s="83" t="s">
        <v>991</v>
      </c>
      <c r="AP281" s="80" t="b">
        <v>0</v>
      </c>
      <c r="AQ281" s="83" t="s">
        <v>874</v>
      </c>
      <c r="AR281" s="80" t="s">
        <v>196</v>
      </c>
      <c r="AS281" s="80">
        <v>0</v>
      </c>
      <c r="AT281" s="80">
        <v>0</v>
      </c>
      <c r="AU281" s="80"/>
      <c r="AV281" s="80"/>
      <c r="AW281" s="80"/>
      <c r="AX281" s="80"/>
      <c r="AY281" s="80"/>
      <c r="AZ281" s="80"/>
      <c r="BA281" s="80"/>
      <c r="BB281" s="80"/>
      <c r="BC281">
        <v>6</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333</v>
      </c>
      <c r="B282" s="65" t="s">
        <v>331</v>
      </c>
      <c r="C282" s="66" t="s">
        <v>2817</v>
      </c>
      <c r="D282" s="67">
        <v>10</v>
      </c>
      <c r="E282" s="66" t="s">
        <v>136</v>
      </c>
      <c r="F282" s="69">
        <v>15.75</v>
      </c>
      <c r="G282" s="66"/>
      <c r="H282" s="70"/>
      <c r="I282" s="71"/>
      <c r="J282" s="71"/>
      <c r="K282" s="35" t="s">
        <v>65</v>
      </c>
      <c r="L282" s="72">
        <v>282</v>
      </c>
      <c r="M282" s="72"/>
      <c r="N282" s="73"/>
      <c r="O282" s="80" t="s">
        <v>406</v>
      </c>
      <c r="P282" s="82">
        <v>44477.33628472222</v>
      </c>
      <c r="Q282" s="80" t="s">
        <v>477</v>
      </c>
      <c r="R282" s="85" t="str">
        <f>HYPERLINK("https://econ.trib.al/AoNqILv")</f>
        <v>https://econ.trib.al/AoNqILv</v>
      </c>
      <c r="S282" s="80" t="s">
        <v>528</v>
      </c>
      <c r="T282" s="80"/>
      <c r="U282" s="80"/>
      <c r="V282" s="85" t="str">
        <f>HYPERLINK("https://pbs.twimg.com/profile_images/1354343790060969990/Fqw5w_P0_normal.jpg")</f>
        <v>https://pbs.twimg.com/profile_images/1354343790060969990/Fqw5w_P0_normal.jpg</v>
      </c>
      <c r="W282" s="82">
        <v>44477.33628472222</v>
      </c>
      <c r="X282" s="87">
        <v>44477</v>
      </c>
      <c r="Y282" s="83" t="s">
        <v>689</v>
      </c>
      <c r="Z282" s="85" t="str">
        <f>HYPERLINK("https://twitter.com/jfrusci/status/1446385941086679076")</f>
        <v>https://twitter.com/jfrusci/status/1446385941086679076</v>
      </c>
      <c r="AA282" s="80"/>
      <c r="AB282" s="80"/>
      <c r="AC282" s="83" t="s">
        <v>874</v>
      </c>
      <c r="AD282" s="80"/>
      <c r="AE282" s="80" t="b">
        <v>0</v>
      </c>
      <c r="AF282" s="80">
        <v>2</v>
      </c>
      <c r="AG282" s="83" t="s">
        <v>952</v>
      </c>
      <c r="AH282" s="80" t="b">
        <v>0</v>
      </c>
      <c r="AI282" s="80" t="s">
        <v>967</v>
      </c>
      <c r="AJ282" s="80"/>
      <c r="AK282" s="83" t="s">
        <v>952</v>
      </c>
      <c r="AL282" s="80" t="b">
        <v>0</v>
      </c>
      <c r="AM282" s="80">
        <v>1</v>
      </c>
      <c r="AN282" s="83" t="s">
        <v>952</v>
      </c>
      <c r="AO282" s="83" t="s">
        <v>991</v>
      </c>
      <c r="AP282" s="80" t="b">
        <v>0</v>
      </c>
      <c r="AQ282" s="83" t="s">
        <v>874</v>
      </c>
      <c r="AR282" s="80" t="s">
        <v>196</v>
      </c>
      <c r="AS282" s="80">
        <v>0</v>
      </c>
      <c r="AT282" s="80">
        <v>0</v>
      </c>
      <c r="AU282" s="80"/>
      <c r="AV282" s="80"/>
      <c r="AW282" s="80"/>
      <c r="AX282" s="80"/>
      <c r="AY282" s="80"/>
      <c r="AZ282" s="80"/>
      <c r="BA282" s="80"/>
      <c r="BB282" s="80"/>
      <c r="BC282">
        <v>6</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333</v>
      </c>
      <c r="B283" s="65" t="s">
        <v>378</v>
      </c>
      <c r="C283" s="66" t="s">
        <v>2817</v>
      </c>
      <c r="D283" s="67">
        <v>10</v>
      </c>
      <c r="E283" s="66" t="s">
        <v>136</v>
      </c>
      <c r="F283" s="69">
        <v>15.75</v>
      </c>
      <c r="G283" s="66"/>
      <c r="H283" s="70"/>
      <c r="I283" s="71"/>
      <c r="J283" s="71"/>
      <c r="K283" s="35" t="s">
        <v>65</v>
      </c>
      <c r="L283" s="72">
        <v>283</v>
      </c>
      <c r="M283" s="72"/>
      <c r="N283" s="73"/>
      <c r="O283" s="80" t="s">
        <v>406</v>
      </c>
      <c r="P283" s="82">
        <v>44477.33628472222</v>
      </c>
      <c r="Q283" s="80" t="s">
        <v>477</v>
      </c>
      <c r="R283" s="85" t="str">
        <f>HYPERLINK("https://econ.trib.al/AoNqILv")</f>
        <v>https://econ.trib.al/AoNqILv</v>
      </c>
      <c r="S283" s="80" t="s">
        <v>528</v>
      </c>
      <c r="T283" s="80"/>
      <c r="U283" s="80"/>
      <c r="V283" s="85" t="str">
        <f>HYPERLINK("https://pbs.twimg.com/profile_images/1354343790060969990/Fqw5w_P0_normal.jpg")</f>
        <v>https://pbs.twimg.com/profile_images/1354343790060969990/Fqw5w_P0_normal.jpg</v>
      </c>
      <c r="W283" s="82">
        <v>44477.33628472222</v>
      </c>
      <c r="X283" s="87">
        <v>44477</v>
      </c>
      <c r="Y283" s="83" t="s">
        <v>689</v>
      </c>
      <c r="Z283" s="85" t="str">
        <f>HYPERLINK("https://twitter.com/jfrusci/status/1446385941086679076")</f>
        <v>https://twitter.com/jfrusci/status/1446385941086679076</v>
      </c>
      <c r="AA283" s="80"/>
      <c r="AB283" s="80"/>
      <c r="AC283" s="83" t="s">
        <v>874</v>
      </c>
      <c r="AD283" s="80"/>
      <c r="AE283" s="80" t="b">
        <v>0</v>
      </c>
      <c r="AF283" s="80">
        <v>2</v>
      </c>
      <c r="AG283" s="83" t="s">
        <v>952</v>
      </c>
      <c r="AH283" s="80" t="b">
        <v>0</v>
      </c>
      <c r="AI283" s="80" t="s">
        <v>967</v>
      </c>
      <c r="AJ283" s="80"/>
      <c r="AK283" s="83" t="s">
        <v>952</v>
      </c>
      <c r="AL283" s="80" t="b">
        <v>0</v>
      </c>
      <c r="AM283" s="80">
        <v>1</v>
      </c>
      <c r="AN283" s="83" t="s">
        <v>952</v>
      </c>
      <c r="AO283" s="83" t="s">
        <v>991</v>
      </c>
      <c r="AP283" s="80" t="b">
        <v>0</v>
      </c>
      <c r="AQ283" s="83" t="s">
        <v>874</v>
      </c>
      <c r="AR283" s="80" t="s">
        <v>196</v>
      </c>
      <c r="AS283" s="80">
        <v>0</v>
      </c>
      <c r="AT283" s="80">
        <v>0</v>
      </c>
      <c r="AU283" s="80"/>
      <c r="AV283" s="80"/>
      <c r="AW283" s="80"/>
      <c r="AX283" s="80"/>
      <c r="AY283" s="80"/>
      <c r="AZ283" s="80"/>
      <c r="BA283" s="80"/>
      <c r="BB283" s="80"/>
      <c r="BC283">
        <v>6</v>
      </c>
      <c r="BD283" s="79" t="str">
        <f>REPLACE(INDEX(GroupVertices[Group],MATCH(Edges[[#This Row],[Vertex 1]],GroupVertices[Vertex],0)),1,1,"")</f>
        <v>1</v>
      </c>
      <c r="BE283" s="79" t="str">
        <f>REPLACE(INDEX(GroupVertices[Group],MATCH(Edges[[#This Row],[Vertex 2]],GroupVertices[Vertex],0)),1,1,"")</f>
        <v>1</v>
      </c>
      <c r="BF283" s="49">
        <v>0</v>
      </c>
      <c r="BG283" s="50">
        <v>0</v>
      </c>
      <c r="BH283" s="49">
        <v>0</v>
      </c>
      <c r="BI283" s="50">
        <v>0</v>
      </c>
      <c r="BJ283" s="49">
        <v>0</v>
      </c>
      <c r="BK283" s="50">
        <v>0</v>
      </c>
      <c r="BL283" s="49">
        <v>36</v>
      </c>
      <c r="BM283" s="50">
        <v>100</v>
      </c>
      <c r="BN283" s="49">
        <v>36</v>
      </c>
    </row>
    <row r="284" spans="1:66" ht="15">
      <c r="A284" s="65" t="s">
        <v>333</v>
      </c>
      <c r="B284" s="65" t="s">
        <v>377</v>
      </c>
      <c r="C284" s="66" t="s">
        <v>2817</v>
      </c>
      <c r="D284" s="67">
        <v>10</v>
      </c>
      <c r="E284" s="66" t="s">
        <v>136</v>
      </c>
      <c r="F284" s="69">
        <v>15.75</v>
      </c>
      <c r="G284" s="66"/>
      <c r="H284" s="70"/>
      <c r="I284" s="71"/>
      <c r="J284" s="71"/>
      <c r="K284" s="35" t="s">
        <v>65</v>
      </c>
      <c r="L284" s="72">
        <v>284</v>
      </c>
      <c r="M284" s="72"/>
      <c r="N284" s="73"/>
      <c r="O284" s="80" t="s">
        <v>406</v>
      </c>
      <c r="P284" s="82">
        <v>44478.3371412037</v>
      </c>
      <c r="Q284" s="80" t="s">
        <v>478</v>
      </c>
      <c r="R284" s="85" t="str">
        <f>HYPERLINK("https://econ.trib.al/hX2OEYl")</f>
        <v>https://econ.trib.al/hX2OEYl</v>
      </c>
      <c r="S284" s="80" t="s">
        <v>528</v>
      </c>
      <c r="T284" s="80"/>
      <c r="U284" s="80"/>
      <c r="V284" s="85" t="str">
        <f>HYPERLINK("https://pbs.twimg.com/profile_images/1354343790060969990/Fqw5w_P0_normal.jpg")</f>
        <v>https://pbs.twimg.com/profile_images/1354343790060969990/Fqw5w_P0_normal.jpg</v>
      </c>
      <c r="W284" s="82">
        <v>44478.3371412037</v>
      </c>
      <c r="X284" s="87">
        <v>44478</v>
      </c>
      <c r="Y284" s="83" t="s">
        <v>690</v>
      </c>
      <c r="Z284" s="85" t="str">
        <f>HYPERLINK("https://twitter.com/jfrusci/status/1446748639930552326")</f>
        <v>https://twitter.com/jfrusci/status/1446748639930552326</v>
      </c>
      <c r="AA284" s="80"/>
      <c r="AB284" s="80"/>
      <c r="AC284" s="83" t="s">
        <v>875</v>
      </c>
      <c r="AD284" s="80"/>
      <c r="AE284" s="80" t="b">
        <v>0</v>
      </c>
      <c r="AF284" s="80">
        <v>0</v>
      </c>
      <c r="AG284" s="83" t="s">
        <v>952</v>
      </c>
      <c r="AH284" s="80" t="b">
        <v>0</v>
      </c>
      <c r="AI284" s="80" t="s">
        <v>967</v>
      </c>
      <c r="AJ284" s="80"/>
      <c r="AK284" s="83" t="s">
        <v>952</v>
      </c>
      <c r="AL284" s="80" t="b">
        <v>0</v>
      </c>
      <c r="AM284" s="80">
        <v>0</v>
      </c>
      <c r="AN284" s="83" t="s">
        <v>952</v>
      </c>
      <c r="AO284" s="83" t="s">
        <v>991</v>
      </c>
      <c r="AP284" s="80" t="b">
        <v>0</v>
      </c>
      <c r="AQ284" s="83" t="s">
        <v>875</v>
      </c>
      <c r="AR284" s="80" t="s">
        <v>196</v>
      </c>
      <c r="AS284" s="80">
        <v>0</v>
      </c>
      <c r="AT284" s="80">
        <v>0</v>
      </c>
      <c r="AU284" s="80"/>
      <c r="AV284" s="80"/>
      <c r="AW284" s="80"/>
      <c r="AX284" s="80"/>
      <c r="AY284" s="80"/>
      <c r="AZ284" s="80"/>
      <c r="BA284" s="80"/>
      <c r="BB284" s="80"/>
      <c r="BC284">
        <v>6</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333</v>
      </c>
      <c r="B285" s="65" t="s">
        <v>331</v>
      </c>
      <c r="C285" s="66" t="s">
        <v>2817</v>
      </c>
      <c r="D285" s="67">
        <v>10</v>
      </c>
      <c r="E285" s="66" t="s">
        <v>136</v>
      </c>
      <c r="F285" s="69">
        <v>15.75</v>
      </c>
      <c r="G285" s="66"/>
      <c r="H285" s="70"/>
      <c r="I285" s="71"/>
      <c r="J285" s="71"/>
      <c r="K285" s="35" t="s">
        <v>65</v>
      </c>
      <c r="L285" s="72">
        <v>285</v>
      </c>
      <c r="M285" s="72"/>
      <c r="N285" s="73"/>
      <c r="O285" s="80" t="s">
        <v>406</v>
      </c>
      <c r="P285" s="82">
        <v>44478.3371412037</v>
      </c>
      <c r="Q285" s="80" t="s">
        <v>478</v>
      </c>
      <c r="R285" s="85" t="str">
        <f>HYPERLINK("https://econ.trib.al/hX2OEYl")</f>
        <v>https://econ.trib.al/hX2OEYl</v>
      </c>
      <c r="S285" s="80" t="s">
        <v>528</v>
      </c>
      <c r="T285" s="80"/>
      <c r="U285" s="80"/>
      <c r="V285" s="85" t="str">
        <f>HYPERLINK("https://pbs.twimg.com/profile_images/1354343790060969990/Fqw5w_P0_normal.jpg")</f>
        <v>https://pbs.twimg.com/profile_images/1354343790060969990/Fqw5w_P0_normal.jpg</v>
      </c>
      <c r="W285" s="82">
        <v>44478.3371412037</v>
      </c>
      <c r="X285" s="87">
        <v>44478</v>
      </c>
      <c r="Y285" s="83" t="s">
        <v>690</v>
      </c>
      <c r="Z285" s="85" t="str">
        <f>HYPERLINK("https://twitter.com/jfrusci/status/1446748639930552326")</f>
        <v>https://twitter.com/jfrusci/status/1446748639930552326</v>
      </c>
      <c r="AA285" s="80"/>
      <c r="AB285" s="80"/>
      <c r="AC285" s="83" t="s">
        <v>875</v>
      </c>
      <c r="AD285" s="80"/>
      <c r="AE285" s="80" t="b">
        <v>0</v>
      </c>
      <c r="AF285" s="80">
        <v>0</v>
      </c>
      <c r="AG285" s="83" t="s">
        <v>952</v>
      </c>
      <c r="AH285" s="80" t="b">
        <v>0</v>
      </c>
      <c r="AI285" s="80" t="s">
        <v>967</v>
      </c>
      <c r="AJ285" s="80"/>
      <c r="AK285" s="83" t="s">
        <v>952</v>
      </c>
      <c r="AL285" s="80" t="b">
        <v>0</v>
      </c>
      <c r="AM285" s="80">
        <v>0</v>
      </c>
      <c r="AN285" s="83" t="s">
        <v>952</v>
      </c>
      <c r="AO285" s="83" t="s">
        <v>991</v>
      </c>
      <c r="AP285" s="80" t="b">
        <v>0</v>
      </c>
      <c r="AQ285" s="83" t="s">
        <v>875</v>
      </c>
      <c r="AR285" s="80" t="s">
        <v>196</v>
      </c>
      <c r="AS285" s="80">
        <v>0</v>
      </c>
      <c r="AT285" s="80">
        <v>0</v>
      </c>
      <c r="AU285" s="80"/>
      <c r="AV285" s="80"/>
      <c r="AW285" s="80"/>
      <c r="AX285" s="80"/>
      <c r="AY285" s="80"/>
      <c r="AZ285" s="80"/>
      <c r="BA285" s="80"/>
      <c r="BB285" s="80"/>
      <c r="BC285">
        <v>6</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333</v>
      </c>
      <c r="B286" s="65" t="s">
        <v>378</v>
      </c>
      <c r="C286" s="66" t="s">
        <v>2817</v>
      </c>
      <c r="D286" s="67">
        <v>10</v>
      </c>
      <c r="E286" s="66" t="s">
        <v>136</v>
      </c>
      <c r="F286" s="69">
        <v>15.75</v>
      </c>
      <c r="G286" s="66"/>
      <c r="H286" s="70"/>
      <c r="I286" s="71"/>
      <c r="J286" s="71"/>
      <c r="K286" s="35" t="s">
        <v>65</v>
      </c>
      <c r="L286" s="72">
        <v>286</v>
      </c>
      <c r="M286" s="72"/>
      <c r="N286" s="73"/>
      <c r="O286" s="80" t="s">
        <v>406</v>
      </c>
      <c r="P286" s="82">
        <v>44478.3371412037</v>
      </c>
      <c r="Q286" s="80" t="s">
        <v>478</v>
      </c>
      <c r="R286" s="85" t="str">
        <f>HYPERLINK("https://econ.trib.al/hX2OEYl")</f>
        <v>https://econ.trib.al/hX2OEYl</v>
      </c>
      <c r="S286" s="80" t="s">
        <v>528</v>
      </c>
      <c r="T286" s="80"/>
      <c r="U286" s="80"/>
      <c r="V286" s="85" t="str">
        <f>HYPERLINK("https://pbs.twimg.com/profile_images/1354343790060969990/Fqw5w_P0_normal.jpg")</f>
        <v>https://pbs.twimg.com/profile_images/1354343790060969990/Fqw5w_P0_normal.jpg</v>
      </c>
      <c r="W286" s="82">
        <v>44478.3371412037</v>
      </c>
      <c r="X286" s="87">
        <v>44478</v>
      </c>
      <c r="Y286" s="83" t="s">
        <v>690</v>
      </c>
      <c r="Z286" s="85" t="str">
        <f>HYPERLINK("https://twitter.com/jfrusci/status/1446748639930552326")</f>
        <v>https://twitter.com/jfrusci/status/1446748639930552326</v>
      </c>
      <c r="AA286" s="80"/>
      <c r="AB286" s="80"/>
      <c r="AC286" s="83" t="s">
        <v>875</v>
      </c>
      <c r="AD286" s="80"/>
      <c r="AE286" s="80" t="b">
        <v>0</v>
      </c>
      <c r="AF286" s="80">
        <v>0</v>
      </c>
      <c r="AG286" s="83" t="s">
        <v>952</v>
      </c>
      <c r="AH286" s="80" t="b">
        <v>0</v>
      </c>
      <c r="AI286" s="80" t="s">
        <v>967</v>
      </c>
      <c r="AJ286" s="80"/>
      <c r="AK286" s="83" t="s">
        <v>952</v>
      </c>
      <c r="AL286" s="80" t="b">
        <v>0</v>
      </c>
      <c r="AM286" s="80">
        <v>0</v>
      </c>
      <c r="AN286" s="83" t="s">
        <v>952</v>
      </c>
      <c r="AO286" s="83" t="s">
        <v>991</v>
      </c>
      <c r="AP286" s="80" t="b">
        <v>0</v>
      </c>
      <c r="AQ286" s="83" t="s">
        <v>875</v>
      </c>
      <c r="AR286" s="80" t="s">
        <v>196</v>
      </c>
      <c r="AS286" s="80">
        <v>0</v>
      </c>
      <c r="AT286" s="80">
        <v>0</v>
      </c>
      <c r="AU286" s="80"/>
      <c r="AV286" s="80"/>
      <c r="AW286" s="80"/>
      <c r="AX286" s="80"/>
      <c r="AY286" s="80"/>
      <c r="AZ286" s="80"/>
      <c r="BA286" s="80"/>
      <c r="BB286" s="80"/>
      <c r="BC286">
        <v>6</v>
      </c>
      <c r="BD286" s="79" t="str">
        <f>REPLACE(INDEX(GroupVertices[Group],MATCH(Edges[[#This Row],[Vertex 1]],GroupVertices[Vertex],0)),1,1,"")</f>
        <v>1</v>
      </c>
      <c r="BE286" s="79" t="str">
        <f>REPLACE(INDEX(GroupVertices[Group],MATCH(Edges[[#This Row],[Vertex 2]],GroupVertices[Vertex],0)),1,1,"")</f>
        <v>1</v>
      </c>
      <c r="BF286" s="49">
        <v>0</v>
      </c>
      <c r="BG286" s="50">
        <v>0</v>
      </c>
      <c r="BH286" s="49">
        <v>0</v>
      </c>
      <c r="BI286" s="50">
        <v>0</v>
      </c>
      <c r="BJ286" s="49">
        <v>0</v>
      </c>
      <c r="BK286" s="50">
        <v>0</v>
      </c>
      <c r="BL286" s="49">
        <v>36</v>
      </c>
      <c r="BM286" s="50">
        <v>100</v>
      </c>
      <c r="BN286" s="49">
        <v>36</v>
      </c>
    </row>
    <row r="287" spans="1:66" ht="15">
      <c r="A287" s="65" t="s">
        <v>333</v>
      </c>
      <c r="B287" s="65" t="s">
        <v>377</v>
      </c>
      <c r="C287" s="66" t="s">
        <v>2817</v>
      </c>
      <c r="D287" s="67">
        <v>10</v>
      </c>
      <c r="E287" s="66" t="s">
        <v>136</v>
      </c>
      <c r="F287" s="69">
        <v>15.75</v>
      </c>
      <c r="G287" s="66"/>
      <c r="H287" s="70"/>
      <c r="I287" s="71"/>
      <c r="J287" s="71"/>
      <c r="K287" s="35" t="s">
        <v>65</v>
      </c>
      <c r="L287" s="72">
        <v>287</v>
      </c>
      <c r="M287" s="72"/>
      <c r="N287" s="73"/>
      <c r="O287" s="80" t="s">
        <v>406</v>
      </c>
      <c r="P287" s="82">
        <v>44479.33621527778</v>
      </c>
      <c r="Q287" s="80" t="s">
        <v>479</v>
      </c>
      <c r="R287" s="85" t="str">
        <f>HYPERLINK("https://econ.trib.al/fJkeRl8")</f>
        <v>https://econ.trib.al/fJkeRl8</v>
      </c>
      <c r="S287" s="80" t="s">
        <v>528</v>
      </c>
      <c r="T287" s="80"/>
      <c r="U287" s="80"/>
      <c r="V287" s="85" t="str">
        <f>HYPERLINK("https://pbs.twimg.com/profile_images/1354343790060969990/Fqw5w_P0_normal.jpg")</f>
        <v>https://pbs.twimg.com/profile_images/1354343790060969990/Fqw5w_P0_normal.jpg</v>
      </c>
      <c r="W287" s="82">
        <v>44479.33621527778</v>
      </c>
      <c r="X287" s="87">
        <v>44479</v>
      </c>
      <c r="Y287" s="83" t="s">
        <v>691</v>
      </c>
      <c r="Z287" s="85" t="str">
        <f>HYPERLINK("https://twitter.com/jfrusci/status/1447110690217598979")</f>
        <v>https://twitter.com/jfrusci/status/1447110690217598979</v>
      </c>
      <c r="AA287" s="80"/>
      <c r="AB287" s="80"/>
      <c r="AC287" s="83" t="s">
        <v>876</v>
      </c>
      <c r="AD287" s="80"/>
      <c r="AE287" s="80" t="b">
        <v>0</v>
      </c>
      <c r="AF287" s="80">
        <v>0</v>
      </c>
      <c r="AG287" s="83" t="s">
        <v>952</v>
      </c>
      <c r="AH287" s="80" t="b">
        <v>0</v>
      </c>
      <c r="AI287" s="80" t="s">
        <v>967</v>
      </c>
      <c r="AJ287" s="80"/>
      <c r="AK287" s="83" t="s">
        <v>952</v>
      </c>
      <c r="AL287" s="80" t="b">
        <v>0</v>
      </c>
      <c r="AM287" s="80">
        <v>1</v>
      </c>
      <c r="AN287" s="83" t="s">
        <v>952</v>
      </c>
      <c r="AO287" s="83" t="s">
        <v>991</v>
      </c>
      <c r="AP287" s="80" t="b">
        <v>0</v>
      </c>
      <c r="AQ287" s="83" t="s">
        <v>876</v>
      </c>
      <c r="AR287" s="80" t="s">
        <v>196</v>
      </c>
      <c r="AS287" s="80">
        <v>0</v>
      </c>
      <c r="AT287" s="80">
        <v>0</v>
      </c>
      <c r="AU287" s="80"/>
      <c r="AV287" s="80"/>
      <c r="AW287" s="80"/>
      <c r="AX287" s="80"/>
      <c r="AY287" s="80"/>
      <c r="AZ287" s="80"/>
      <c r="BA287" s="80"/>
      <c r="BB287" s="80"/>
      <c r="BC287">
        <v>6</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333</v>
      </c>
      <c r="B288" s="65" t="s">
        <v>331</v>
      </c>
      <c r="C288" s="66" t="s">
        <v>2817</v>
      </c>
      <c r="D288" s="67">
        <v>10</v>
      </c>
      <c r="E288" s="66" t="s">
        <v>136</v>
      </c>
      <c r="F288" s="69">
        <v>15.75</v>
      </c>
      <c r="G288" s="66"/>
      <c r="H288" s="70"/>
      <c r="I288" s="71"/>
      <c r="J288" s="71"/>
      <c r="K288" s="35" t="s">
        <v>65</v>
      </c>
      <c r="L288" s="72">
        <v>288</v>
      </c>
      <c r="M288" s="72"/>
      <c r="N288" s="73"/>
      <c r="O288" s="80" t="s">
        <v>406</v>
      </c>
      <c r="P288" s="82">
        <v>44479.33621527778</v>
      </c>
      <c r="Q288" s="80" t="s">
        <v>479</v>
      </c>
      <c r="R288" s="85" t="str">
        <f>HYPERLINK("https://econ.trib.al/fJkeRl8")</f>
        <v>https://econ.trib.al/fJkeRl8</v>
      </c>
      <c r="S288" s="80" t="s">
        <v>528</v>
      </c>
      <c r="T288" s="80"/>
      <c r="U288" s="80"/>
      <c r="V288" s="85" t="str">
        <f>HYPERLINK("https://pbs.twimg.com/profile_images/1354343790060969990/Fqw5w_P0_normal.jpg")</f>
        <v>https://pbs.twimg.com/profile_images/1354343790060969990/Fqw5w_P0_normal.jpg</v>
      </c>
      <c r="W288" s="82">
        <v>44479.33621527778</v>
      </c>
      <c r="X288" s="87">
        <v>44479</v>
      </c>
      <c r="Y288" s="83" t="s">
        <v>691</v>
      </c>
      <c r="Z288" s="85" t="str">
        <f>HYPERLINK("https://twitter.com/jfrusci/status/1447110690217598979")</f>
        <v>https://twitter.com/jfrusci/status/1447110690217598979</v>
      </c>
      <c r="AA288" s="80"/>
      <c r="AB288" s="80"/>
      <c r="AC288" s="83" t="s">
        <v>876</v>
      </c>
      <c r="AD288" s="80"/>
      <c r="AE288" s="80" t="b">
        <v>0</v>
      </c>
      <c r="AF288" s="80">
        <v>0</v>
      </c>
      <c r="AG288" s="83" t="s">
        <v>952</v>
      </c>
      <c r="AH288" s="80" t="b">
        <v>0</v>
      </c>
      <c r="AI288" s="80" t="s">
        <v>967</v>
      </c>
      <c r="AJ288" s="80"/>
      <c r="AK288" s="83" t="s">
        <v>952</v>
      </c>
      <c r="AL288" s="80" t="b">
        <v>0</v>
      </c>
      <c r="AM288" s="80">
        <v>1</v>
      </c>
      <c r="AN288" s="83" t="s">
        <v>952</v>
      </c>
      <c r="AO288" s="83" t="s">
        <v>991</v>
      </c>
      <c r="AP288" s="80" t="b">
        <v>0</v>
      </c>
      <c r="AQ288" s="83" t="s">
        <v>876</v>
      </c>
      <c r="AR288" s="80" t="s">
        <v>196</v>
      </c>
      <c r="AS288" s="80">
        <v>0</v>
      </c>
      <c r="AT288" s="80">
        <v>0</v>
      </c>
      <c r="AU288" s="80"/>
      <c r="AV288" s="80"/>
      <c r="AW288" s="80"/>
      <c r="AX288" s="80"/>
      <c r="AY288" s="80"/>
      <c r="AZ288" s="80"/>
      <c r="BA288" s="80"/>
      <c r="BB288" s="80"/>
      <c r="BC288">
        <v>6</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333</v>
      </c>
      <c r="B289" s="65" t="s">
        <v>378</v>
      </c>
      <c r="C289" s="66" t="s">
        <v>2817</v>
      </c>
      <c r="D289" s="67">
        <v>10</v>
      </c>
      <c r="E289" s="66" t="s">
        <v>136</v>
      </c>
      <c r="F289" s="69">
        <v>15.75</v>
      </c>
      <c r="G289" s="66"/>
      <c r="H289" s="70"/>
      <c r="I289" s="71"/>
      <c r="J289" s="71"/>
      <c r="K289" s="35" t="s">
        <v>65</v>
      </c>
      <c r="L289" s="72">
        <v>289</v>
      </c>
      <c r="M289" s="72"/>
      <c r="N289" s="73"/>
      <c r="O289" s="80" t="s">
        <v>406</v>
      </c>
      <c r="P289" s="82">
        <v>44479.33621527778</v>
      </c>
      <c r="Q289" s="80" t="s">
        <v>479</v>
      </c>
      <c r="R289" s="85" t="str">
        <f>HYPERLINK("https://econ.trib.al/fJkeRl8")</f>
        <v>https://econ.trib.al/fJkeRl8</v>
      </c>
      <c r="S289" s="80" t="s">
        <v>528</v>
      </c>
      <c r="T289" s="80"/>
      <c r="U289" s="80"/>
      <c r="V289" s="85" t="str">
        <f>HYPERLINK("https://pbs.twimg.com/profile_images/1354343790060969990/Fqw5w_P0_normal.jpg")</f>
        <v>https://pbs.twimg.com/profile_images/1354343790060969990/Fqw5w_P0_normal.jpg</v>
      </c>
      <c r="W289" s="82">
        <v>44479.33621527778</v>
      </c>
      <c r="X289" s="87">
        <v>44479</v>
      </c>
      <c r="Y289" s="83" t="s">
        <v>691</v>
      </c>
      <c r="Z289" s="85" t="str">
        <f>HYPERLINK("https://twitter.com/jfrusci/status/1447110690217598979")</f>
        <v>https://twitter.com/jfrusci/status/1447110690217598979</v>
      </c>
      <c r="AA289" s="80"/>
      <c r="AB289" s="80"/>
      <c r="AC289" s="83" t="s">
        <v>876</v>
      </c>
      <c r="AD289" s="80"/>
      <c r="AE289" s="80" t="b">
        <v>0</v>
      </c>
      <c r="AF289" s="80">
        <v>0</v>
      </c>
      <c r="AG289" s="83" t="s">
        <v>952</v>
      </c>
      <c r="AH289" s="80" t="b">
        <v>0</v>
      </c>
      <c r="AI289" s="80" t="s">
        <v>967</v>
      </c>
      <c r="AJ289" s="80"/>
      <c r="AK289" s="83" t="s">
        <v>952</v>
      </c>
      <c r="AL289" s="80" t="b">
        <v>0</v>
      </c>
      <c r="AM289" s="80">
        <v>1</v>
      </c>
      <c r="AN289" s="83" t="s">
        <v>952</v>
      </c>
      <c r="AO289" s="83" t="s">
        <v>991</v>
      </c>
      <c r="AP289" s="80" t="b">
        <v>0</v>
      </c>
      <c r="AQ289" s="83" t="s">
        <v>876</v>
      </c>
      <c r="AR289" s="80" t="s">
        <v>196</v>
      </c>
      <c r="AS289" s="80">
        <v>0</v>
      </c>
      <c r="AT289" s="80">
        <v>0</v>
      </c>
      <c r="AU289" s="80"/>
      <c r="AV289" s="80"/>
      <c r="AW289" s="80"/>
      <c r="AX289" s="80"/>
      <c r="AY289" s="80"/>
      <c r="AZ289" s="80"/>
      <c r="BA289" s="80"/>
      <c r="BB289" s="80"/>
      <c r="BC289">
        <v>6</v>
      </c>
      <c r="BD289" s="79" t="str">
        <f>REPLACE(INDEX(GroupVertices[Group],MATCH(Edges[[#This Row],[Vertex 1]],GroupVertices[Vertex],0)),1,1,"")</f>
        <v>1</v>
      </c>
      <c r="BE289" s="79" t="str">
        <f>REPLACE(INDEX(GroupVertices[Group],MATCH(Edges[[#This Row],[Vertex 2]],GroupVertices[Vertex],0)),1,1,"")</f>
        <v>1</v>
      </c>
      <c r="BF289" s="49">
        <v>0</v>
      </c>
      <c r="BG289" s="50">
        <v>0</v>
      </c>
      <c r="BH289" s="49">
        <v>0</v>
      </c>
      <c r="BI289" s="50">
        <v>0</v>
      </c>
      <c r="BJ289" s="49">
        <v>0</v>
      </c>
      <c r="BK289" s="50">
        <v>0</v>
      </c>
      <c r="BL289" s="49">
        <v>36</v>
      </c>
      <c r="BM289" s="50">
        <v>100</v>
      </c>
      <c r="BN289" s="49">
        <v>36</v>
      </c>
    </row>
    <row r="290" spans="1:66" ht="15">
      <c r="A290" s="65" t="s">
        <v>333</v>
      </c>
      <c r="B290" s="65" t="s">
        <v>377</v>
      </c>
      <c r="C290" s="66" t="s">
        <v>2817</v>
      </c>
      <c r="D290" s="67">
        <v>10</v>
      </c>
      <c r="E290" s="66" t="s">
        <v>136</v>
      </c>
      <c r="F290" s="69">
        <v>15.75</v>
      </c>
      <c r="G290" s="66"/>
      <c r="H290" s="70"/>
      <c r="I290" s="71"/>
      <c r="J290" s="71"/>
      <c r="K290" s="35" t="s">
        <v>65</v>
      </c>
      <c r="L290" s="72">
        <v>290</v>
      </c>
      <c r="M290" s="72"/>
      <c r="N290" s="73"/>
      <c r="O290" s="80" t="s">
        <v>406</v>
      </c>
      <c r="P290" s="82">
        <v>44480.337118055555</v>
      </c>
      <c r="Q290" s="80" t="s">
        <v>480</v>
      </c>
      <c r="R290" s="85" t="str">
        <f>HYPERLINK("https://econ.trib.al/6yo11AH")</f>
        <v>https://econ.trib.al/6yo11AH</v>
      </c>
      <c r="S290" s="80" t="s">
        <v>528</v>
      </c>
      <c r="T290" s="80"/>
      <c r="U290" s="80"/>
      <c r="V290" s="85" t="str">
        <f>HYPERLINK("https://pbs.twimg.com/profile_images/1354343790060969990/Fqw5w_P0_normal.jpg")</f>
        <v>https://pbs.twimg.com/profile_images/1354343790060969990/Fqw5w_P0_normal.jpg</v>
      </c>
      <c r="W290" s="82">
        <v>44480.337118055555</v>
      </c>
      <c r="X290" s="87">
        <v>44480</v>
      </c>
      <c r="Y290" s="83" t="s">
        <v>692</v>
      </c>
      <c r="Z290" s="85" t="str">
        <f>HYPERLINK("https://twitter.com/jfrusci/status/1447473406325239809")</f>
        <v>https://twitter.com/jfrusci/status/1447473406325239809</v>
      </c>
      <c r="AA290" s="80"/>
      <c r="AB290" s="80"/>
      <c r="AC290" s="83" t="s">
        <v>877</v>
      </c>
      <c r="AD290" s="80"/>
      <c r="AE290" s="80" t="b">
        <v>0</v>
      </c>
      <c r="AF290" s="80">
        <v>0</v>
      </c>
      <c r="AG290" s="83" t="s">
        <v>952</v>
      </c>
      <c r="AH290" s="80" t="b">
        <v>0</v>
      </c>
      <c r="AI290" s="80" t="s">
        <v>967</v>
      </c>
      <c r="AJ290" s="80"/>
      <c r="AK290" s="83" t="s">
        <v>952</v>
      </c>
      <c r="AL290" s="80" t="b">
        <v>0</v>
      </c>
      <c r="AM290" s="80">
        <v>1</v>
      </c>
      <c r="AN290" s="83" t="s">
        <v>952</v>
      </c>
      <c r="AO290" s="83" t="s">
        <v>991</v>
      </c>
      <c r="AP290" s="80" t="b">
        <v>0</v>
      </c>
      <c r="AQ290" s="83" t="s">
        <v>877</v>
      </c>
      <c r="AR290" s="80" t="s">
        <v>196</v>
      </c>
      <c r="AS290" s="80">
        <v>0</v>
      </c>
      <c r="AT290" s="80">
        <v>0</v>
      </c>
      <c r="AU290" s="80"/>
      <c r="AV290" s="80"/>
      <c r="AW290" s="80"/>
      <c r="AX290" s="80"/>
      <c r="AY290" s="80"/>
      <c r="AZ290" s="80"/>
      <c r="BA290" s="80"/>
      <c r="BB290" s="80"/>
      <c r="BC290">
        <v>6</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333</v>
      </c>
      <c r="B291" s="65" t="s">
        <v>331</v>
      </c>
      <c r="C291" s="66" t="s">
        <v>2817</v>
      </c>
      <c r="D291" s="67">
        <v>10</v>
      </c>
      <c r="E291" s="66" t="s">
        <v>136</v>
      </c>
      <c r="F291" s="69">
        <v>15.75</v>
      </c>
      <c r="G291" s="66"/>
      <c r="H291" s="70"/>
      <c r="I291" s="71"/>
      <c r="J291" s="71"/>
      <c r="K291" s="35" t="s">
        <v>65</v>
      </c>
      <c r="L291" s="72">
        <v>291</v>
      </c>
      <c r="M291" s="72"/>
      <c r="N291" s="73"/>
      <c r="O291" s="80" t="s">
        <v>406</v>
      </c>
      <c r="P291" s="82">
        <v>44480.337118055555</v>
      </c>
      <c r="Q291" s="80" t="s">
        <v>480</v>
      </c>
      <c r="R291" s="85" t="str">
        <f>HYPERLINK("https://econ.trib.al/6yo11AH")</f>
        <v>https://econ.trib.al/6yo11AH</v>
      </c>
      <c r="S291" s="80" t="s">
        <v>528</v>
      </c>
      <c r="T291" s="80"/>
      <c r="U291" s="80"/>
      <c r="V291" s="85" t="str">
        <f>HYPERLINK("https://pbs.twimg.com/profile_images/1354343790060969990/Fqw5w_P0_normal.jpg")</f>
        <v>https://pbs.twimg.com/profile_images/1354343790060969990/Fqw5w_P0_normal.jpg</v>
      </c>
      <c r="W291" s="82">
        <v>44480.337118055555</v>
      </c>
      <c r="X291" s="87">
        <v>44480</v>
      </c>
      <c r="Y291" s="83" t="s">
        <v>692</v>
      </c>
      <c r="Z291" s="85" t="str">
        <f>HYPERLINK("https://twitter.com/jfrusci/status/1447473406325239809")</f>
        <v>https://twitter.com/jfrusci/status/1447473406325239809</v>
      </c>
      <c r="AA291" s="80"/>
      <c r="AB291" s="80"/>
      <c r="AC291" s="83" t="s">
        <v>877</v>
      </c>
      <c r="AD291" s="80"/>
      <c r="AE291" s="80" t="b">
        <v>0</v>
      </c>
      <c r="AF291" s="80">
        <v>0</v>
      </c>
      <c r="AG291" s="83" t="s">
        <v>952</v>
      </c>
      <c r="AH291" s="80" t="b">
        <v>0</v>
      </c>
      <c r="AI291" s="80" t="s">
        <v>967</v>
      </c>
      <c r="AJ291" s="80"/>
      <c r="AK291" s="83" t="s">
        <v>952</v>
      </c>
      <c r="AL291" s="80" t="b">
        <v>0</v>
      </c>
      <c r="AM291" s="80">
        <v>1</v>
      </c>
      <c r="AN291" s="83" t="s">
        <v>952</v>
      </c>
      <c r="AO291" s="83" t="s">
        <v>991</v>
      </c>
      <c r="AP291" s="80" t="b">
        <v>0</v>
      </c>
      <c r="AQ291" s="83" t="s">
        <v>877</v>
      </c>
      <c r="AR291" s="80" t="s">
        <v>196</v>
      </c>
      <c r="AS291" s="80">
        <v>0</v>
      </c>
      <c r="AT291" s="80">
        <v>0</v>
      </c>
      <c r="AU291" s="80"/>
      <c r="AV291" s="80"/>
      <c r="AW291" s="80"/>
      <c r="AX291" s="80"/>
      <c r="AY291" s="80"/>
      <c r="AZ291" s="80"/>
      <c r="BA291" s="80"/>
      <c r="BB291" s="80"/>
      <c r="BC291">
        <v>6</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333</v>
      </c>
      <c r="B292" s="65" t="s">
        <v>378</v>
      </c>
      <c r="C292" s="66" t="s">
        <v>2817</v>
      </c>
      <c r="D292" s="67">
        <v>10</v>
      </c>
      <c r="E292" s="66" t="s">
        <v>136</v>
      </c>
      <c r="F292" s="69">
        <v>15.75</v>
      </c>
      <c r="G292" s="66"/>
      <c r="H292" s="70"/>
      <c r="I292" s="71"/>
      <c r="J292" s="71"/>
      <c r="K292" s="35" t="s">
        <v>65</v>
      </c>
      <c r="L292" s="72">
        <v>292</v>
      </c>
      <c r="M292" s="72"/>
      <c r="N292" s="73"/>
      <c r="O292" s="80" t="s">
        <v>406</v>
      </c>
      <c r="P292" s="82">
        <v>44480.337118055555</v>
      </c>
      <c r="Q292" s="80" t="s">
        <v>480</v>
      </c>
      <c r="R292" s="85" t="str">
        <f>HYPERLINK("https://econ.trib.al/6yo11AH")</f>
        <v>https://econ.trib.al/6yo11AH</v>
      </c>
      <c r="S292" s="80" t="s">
        <v>528</v>
      </c>
      <c r="T292" s="80"/>
      <c r="U292" s="80"/>
      <c r="V292" s="85" t="str">
        <f>HYPERLINK("https://pbs.twimg.com/profile_images/1354343790060969990/Fqw5w_P0_normal.jpg")</f>
        <v>https://pbs.twimg.com/profile_images/1354343790060969990/Fqw5w_P0_normal.jpg</v>
      </c>
      <c r="W292" s="82">
        <v>44480.337118055555</v>
      </c>
      <c r="X292" s="87">
        <v>44480</v>
      </c>
      <c r="Y292" s="83" t="s">
        <v>692</v>
      </c>
      <c r="Z292" s="85" t="str">
        <f>HYPERLINK("https://twitter.com/jfrusci/status/1447473406325239809")</f>
        <v>https://twitter.com/jfrusci/status/1447473406325239809</v>
      </c>
      <c r="AA292" s="80"/>
      <c r="AB292" s="80"/>
      <c r="AC292" s="83" t="s">
        <v>877</v>
      </c>
      <c r="AD292" s="80"/>
      <c r="AE292" s="80" t="b">
        <v>0</v>
      </c>
      <c r="AF292" s="80">
        <v>0</v>
      </c>
      <c r="AG292" s="83" t="s">
        <v>952</v>
      </c>
      <c r="AH292" s="80" t="b">
        <v>0</v>
      </c>
      <c r="AI292" s="80" t="s">
        <v>967</v>
      </c>
      <c r="AJ292" s="80"/>
      <c r="AK292" s="83" t="s">
        <v>952</v>
      </c>
      <c r="AL292" s="80" t="b">
        <v>0</v>
      </c>
      <c r="AM292" s="80">
        <v>1</v>
      </c>
      <c r="AN292" s="83" t="s">
        <v>952</v>
      </c>
      <c r="AO292" s="83" t="s">
        <v>991</v>
      </c>
      <c r="AP292" s="80" t="b">
        <v>0</v>
      </c>
      <c r="AQ292" s="83" t="s">
        <v>877</v>
      </c>
      <c r="AR292" s="80" t="s">
        <v>196</v>
      </c>
      <c r="AS292" s="80">
        <v>0</v>
      </c>
      <c r="AT292" s="80">
        <v>0</v>
      </c>
      <c r="AU292" s="80"/>
      <c r="AV292" s="80"/>
      <c r="AW292" s="80"/>
      <c r="AX292" s="80"/>
      <c r="AY292" s="80"/>
      <c r="AZ292" s="80"/>
      <c r="BA292" s="80"/>
      <c r="BB292" s="80"/>
      <c r="BC292">
        <v>6</v>
      </c>
      <c r="BD292" s="79" t="str">
        <f>REPLACE(INDEX(GroupVertices[Group],MATCH(Edges[[#This Row],[Vertex 1]],GroupVertices[Vertex],0)),1,1,"")</f>
        <v>1</v>
      </c>
      <c r="BE292" s="79" t="str">
        <f>REPLACE(INDEX(GroupVertices[Group],MATCH(Edges[[#This Row],[Vertex 2]],GroupVertices[Vertex],0)),1,1,"")</f>
        <v>1</v>
      </c>
      <c r="BF292" s="49">
        <v>0</v>
      </c>
      <c r="BG292" s="50">
        <v>0</v>
      </c>
      <c r="BH292" s="49">
        <v>0</v>
      </c>
      <c r="BI292" s="50">
        <v>0</v>
      </c>
      <c r="BJ292" s="49">
        <v>0</v>
      </c>
      <c r="BK292" s="50">
        <v>0</v>
      </c>
      <c r="BL292" s="49">
        <v>36</v>
      </c>
      <c r="BM292" s="50">
        <v>100</v>
      </c>
      <c r="BN292" s="49">
        <v>36</v>
      </c>
    </row>
    <row r="293" spans="1:66" ht="15">
      <c r="A293" s="65" t="s">
        <v>334</v>
      </c>
      <c r="B293" s="65" t="s">
        <v>333</v>
      </c>
      <c r="C293" s="66" t="s">
        <v>2818</v>
      </c>
      <c r="D293" s="67">
        <v>10</v>
      </c>
      <c r="E293" s="66" t="s">
        <v>136</v>
      </c>
      <c r="F293" s="69">
        <v>25.5</v>
      </c>
      <c r="G293" s="66"/>
      <c r="H293" s="70"/>
      <c r="I293" s="71"/>
      <c r="J293" s="71"/>
      <c r="K293" s="35" t="s">
        <v>65</v>
      </c>
      <c r="L293" s="72">
        <v>293</v>
      </c>
      <c r="M293" s="72"/>
      <c r="N293" s="73"/>
      <c r="O293" s="80" t="s">
        <v>408</v>
      </c>
      <c r="P293" s="82">
        <v>44477.35425925926</v>
      </c>
      <c r="Q293" s="80" t="s">
        <v>477</v>
      </c>
      <c r="R293" s="85" t="str">
        <f>HYPERLINK("https://econ.trib.al/AoNqILv")</f>
        <v>https://econ.trib.al/AoNqILv</v>
      </c>
      <c r="S293" s="80" t="s">
        <v>528</v>
      </c>
      <c r="T293" s="80"/>
      <c r="U293" s="80"/>
      <c r="V293" s="85" t="str">
        <f>HYPERLINK("https://pbs.twimg.com/profile_images/1191749200121348096/BmfItDOa_normal.jpg")</f>
        <v>https://pbs.twimg.com/profile_images/1191749200121348096/BmfItDOa_normal.jpg</v>
      </c>
      <c r="W293" s="82">
        <v>44477.35425925926</v>
      </c>
      <c r="X293" s="87">
        <v>44477</v>
      </c>
      <c r="Y293" s="83" t="s">
        <v>695</v>
      </c>
      <c r="Z293" s="85" t="str">
        <f>HYPERLINK("https://twitter.com/oikos_solutions/status/1446392454148677642")</f>
        <v>https://twitter.com/oikos_solutions/status/1446392454148677642</v>
      </c>
      <c r="AA293" s="80"/>
      <c r="AB293" s="80"/>
      <c r="AC293" s="83" t="s">
        <v>880</v>
      </c>
      <c r="AD293" s="80"/>
      <c r="AE293" s="80" t="b">
        <v>0</v>
      </c>
      <c r="AF293" s="80">
        <v>0</v>
      </c>
      <c r="AG293" s="83" t="s">
        <v>952</v>
      </c>
      <c r="AH293" s="80" t="b">
        <v>0</v>
      </c>
      <c r="AI293" s="80" t="s">
        <v>967</v>
      </c>
      <c r="AJ293" s="80"/>
      <c r="AK293" s="83" t="s">
        <v>952</v>
      </c>
      <c r="AL293" s="80" t="b">
        <v>0</v>
      </c>
      <c r="AM293" s="80">
        <v>1</v>
      </c>
      <c r="AN293" s="83" t="s">
        <v>874</v>
      </c>
      <c r="AO293" s="83" t="s">
        <v>992</v>
      </c>
      <c r="AP293" s="80" t="b">
        <v>0</v>
      </c>
      <c r="AQ293" s="83" t="s">
        <v>874</v>
      </c>
      <c r="AR293" s="80" t="s">
        <v>196</v>
      </c>
      <c r="AS293" s="80">
        <v>0</v>
      </c>
      <c r="AT293" s="80">
        <v>0</v>
      </c>
      <c r="AU293" s="80"/>
      <c r="AV293" s="80"/>
      <c r="AW293" s="80"/>
      <c r="AX293" s="80"/>
      <c r="AY293" s="80"/>
      <c r="AZ293" s="80"/>
      <c r="BA293" s="80"/>
      <c r="BB293" s="80"/>
      <c r="BC293">
        <v>3</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334</v>
      </c>
      <c r="B294" s="65" t="s">
        <v>333</v>
      </c>
      <c r="C294" s="66" t="s">
        <v>2818</v>
      </c>
      <c r="D294" s="67">
        <v>10</v>
      </c>
      <c r="E294" s="66" t="s">
        <v>136</v>
      </c>
      <c r="F294" s="69">
        <v>25.5</v>
      </c>
      <c r="G294" s="66"/>
      <c r="H294" s="70"/>
      <c r="I294" s="71"/>
      <c r="J294" s="71"/>
      <c r="K294" s="35" t="s">
        <v>65</v>
      </c>
      <c r="L294" s="72">
        <v>294</v>
      </c>
      <c r="M294" s="72"/>
      <c r="N294" s="73"/>
      <c r="O294" s="80" t="s">
        <v>408</v>
      </c>
      <c r="P294" s="82">
        <v>44479.35407407407</v>
      </c>
      <c r="Q294" s="80" t="s">
        <v>479</v>
      </c>
      <c r="R294" s="85" t="str">
        <f>HYPERLINK("https://econ.trib.al/fJkeRl8")</f>
        <v>https://econ.trib.al/fJkeRl8</v>
      </c>
      <c r="S294" s="80" t="s">
        <v>528</v>
      </c>
      <c r="T294" s="80"/>
      <c r="U294" s="80"/>
      <c r="V294" s="85" t="str">
        <f>HYPERLINK("https://pbs.twimg.com/profile_images/1191749200121348096/BmfItDOa_normal.jpg")</f>
        <v>https://pbs.twimg.com/profile_images/1191749200121348096/BmfItDOa_normal.jpg</v>
      </c>
      <c r="W294" s="82">
        <v>44479.35407407407</v>
      </c>
      <c r="X294" s="87">
        <v>44479</v>
      </c>
      <c r="Y294" s="83" t="s">
        <v>697</v>
      </c>
      <c r="Z294" s="85" t="str">
        <f>HYPERLINK("https://twitter.com/oikos_solutions/status/1447117163072999424")</f>
        <v>https://twitter.com/oikos_solutions/status/1447117163072999424</v>
      </c>
      <c r="AA294" s="80"/>
      <c r="AB294" s="80"/>
      <c r="AC294" s="83" t="s">
        <v>882</v>
      </c>
      <c r="AD294" s="80"/>
      <c r="AE294" s="80" t="b">
        <v>0</v>
      </c>
      <c r="AF294" s="80">
        <v>0</v>
      </c>
      <c r="AG294" s="83" t="s">
        <v>952</v>
      </c>
      <c r="AH294" s="80" t="b">
        <v>0</v>
      </c>
      <c r="AI294" s="80" t="s">
        <v>967</v>
      </c>
      <c r="AJ294" s="80"/>
      <c r="AK294" s="83" t="s">
        <v>952</v>
      </c>
      <c r="AL294" s="80" t="b">
        <v>0</v>
      </c>
      <c r="AM294" s="80">
        <v>1</v>
      </c>
      <c r="AN294" s="83" t="s">
        <v>876</v>
      </c>
      <c r="AO294" s="83" t="s">
        <v>992</v>
      </c>
      <c r="AP294" s="80" t="b">
        <v>0</v>
      </c>
      <c r="AQ294" s="83" t="s">
        <v>876</v>
      </c>
      <c r="AR294" s="80" t="s">
        <v>196</v>
      </c>
      <c r="AS294" s="80">
        <v>0</v>
      </c>
      <c r="AT294" s="80">
        <v>0</v>
      </c>
      <c r="AU294" s="80"/>
      <c r="AV294" s="80"/>
      <c r="AW294" s="80"/>
      <c r="AX294" s="80"/>
      <c r="AY294" s="80"/>
      <c r="AZ294" s="80"/>
      <c r="BA294" s="80"/>
      <c r="BB294" s="80"/>
      <c r="BC294">
        <v>3</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334</v>
      </c>
      <c r="B295" s="65" t="s">
        <v>333</v>
      </c>
      <c r="C295" s="66" t="s">
        <v>2818</v>
      </c>
      <c r="D295" s="67">
        <v>10</v>
      </c>
      <c r="E295" s="66" t="s">
        <v>136</v>
      </c>
      <c r="F295" s="69">
        <v>25.5</v>
      </c>
      <c r="G295" s="66"/>
      <c r="H295" s="70"/>
      <c r="I295" s="71"/>
      <c r="J295" s="71"/>
      <c r="K295" s="35" t="s">
        <v>65</v>
      </c>
      <c r="L295" s="72">
        <v>295</v>
      </c>
      <c r="M295" s="72"/>
      <c r="N295" s="73"/>
      <c r="O295" s="80" t="s">
        <v>408</v>
      </c>
      <c r="P295" s="82">
        <v>44480.35335648148</v>
      </c>
      <c r="Q295" s="80" t="s">
        <v>480</v>
      </c>
      <c r="R295" s="85" t="str">
        <f>HYPERLINK("https://econ.trib.al/6yo11AH")</f>
        <v>https://econ.trib.al/6yo11AH</v>
      </c>
      <c r="S295" s="80" t="s">
        <v>528</v>
      </c>
      <c r="T295" s="80"/>
      <c r="U295" s="80"/>
      <c r="V295" s="85" t="str">
        <f>HYPERLINK("https://pbs.twimg.com/profile_images/1191749200121348096/BmfItDOa_normal.jpg")</f>
        <v>https://pbs.twimg.com/profile_images/1191749200121348096/BmfItDOa_normal.jpg</v>
      </c>
      <c r="W295" s="82">
        <v>44480.35335648148</v>
      </c>
      <c r="X295" s="87">
        <v>44480</v>
      </c>
      <c r="Y295" s="83" t="s">
        <v>693</v>
      </c>
      <c r="Z295" s="85" t="str">
        <f>HYPERLINK("https://twitter.com/oikos_solutions/status/1447479289088253952")</f>
        <v>https://twitter.com/oikos_solutions/status/1447479289088253952</v>
      </c>
      <c r="AA295" s="80"/>
      <c r="AB295" s="80"/>
      <c r="AC295" s="83" t="s">
        <v>883</v>
      </c>
      <c r="AD295" s="80"/>
      <c r="AE295" s="80" t="b">
        <v>0</v>
      </c>
      <c r="AF295" s="80">
        <v>0</v>
      </c>
      <c r="AG295" s="83" t="s">
        <v>952</v>
      </c>
      <c r="AH295" s="80" t="b">
        <v>0</v>
      </c>
      <c r="AI295" s="80" t="s">
        <v>967</v>
      </c>
      <c r="AJ295" s="80"/>
      <c r="AK295" s="83" t="s">
        <v>952</v>
      </c>
      <c r="AL295" s="80" t="b">
        <v>0</v>
      </c>
      <c r="AM295" s="80">
        <v>1</v>
      </c>
      <c r="AN295" s="83" t="s">
        <v>877</v>
      </c>
      <c r="AO295" s="83" t="s">
        <v>992</v>
      </c>
      <c r="AP295" s="80" t="b">
        <v>0</v>
      </c>
      <c r="AQ295" s="83" t="s">
        <v>877</v>
      </c>
      <c r="AR295" s="80" t="s">
        <v>196</v>
      </c>
      <c r="AS295" s="80">
        <v>0</v>
      </c>
      <c r="AT295" s="80">
        <v>0</v>
      </c>
      <c r="AU295" s="80"/>
      <c r="AV295" s="80"/>
      <c r="AW295" s="80"/>
      <c r="AX295" s="80"/>
      <c r="AY295" s="80"/>
      <c r="AZ295" s="80"/>
      <c r="BA295" s="80"/>
      <c r="BB295" s="80"/>
      <c r="BC295">
        <v>3</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334</v>
      </c>
      <c r="B296" s="65" t="s">
        <v>377</v>
      </c>
      <c r="C296" s="66" t="s">
        <v>2819</v>
      </c>
      <c r="D296" s="67">
        <v>10</v>
      </c>
      <c r="E296" s="66" t="s">
        <v>136</v>
      </c>
      <c r="F296" s="69">
        <v>6</v>
      </c>
      <c r="G296" s="66"/>
      <c r="H296" s="70"/>
      <c r="I296" s="71"/>
      <c r="J296" s="71"/>
      <c r="K296" s="35" t="s">
        <v>65</v>
      </c>
      <c r="L296" s="72">
        <v>296</v>
      </c>
      <c r="M296" s="72"/>
      <c r="N296" s="73"/>
      <c r="O296" s="80" t="s">
        <v>407</v>
      </c>
      <c r="P296" s="82">
        <v>44476.35335648148</v>
      </c>
      <c r="Q296" s="80" t="s">
        <v>431</v>
      </c>
      <c r="R296" s="85" t="str">
        <f>HYPERLINK("https://econ.trib.al/NL8KzOD")</f>
        <v>https://econ.trib.al/NL8KzOD</v>
      </c>
      <c r="S296" s="80" t="s">
        <v>528</v>
      </c>
      <c r="T296" s="80"/>
      <c r="U296" s="80"/>
      <c r="V296" s="85" t="str">
        <f>HYPERLINK("https://pbs.twimg.com/profile_images/1191749200121348096/BmfItDOa_normal.jpg")</f>
        <v>https://pbs.twimg.com/profile_images/1191749200121348096/BmfItDOa_normal.jpg</v>
      </c>
      <c r="W296" s="82">
        <v>44476.35335648148</v>
      </c>
      <c r="X296" s="87">
        <v>44476</v>
      </c>
      <c r="Y296" s="83" t="s">
        <v>693</v>
      </c>
      <c r="Z296" s="85" t="str">
        <f>HYPERLINK("https://twitter.com/oikos_solutions/status/1446029739601367041")</f>
        <v>https://twitter.com/oikos_solutions/status/1446029739601367041</v>
      </c>
      <c r="AA296" s="80"/>
      <c r="AB296" s="80"/>
      <c r="AC296" s="83" t="s">
        <v>878</v>
      </c>
      <c r="AD296" s="80"/>
      <c r="AE296" s="80" t="b">
        <v>0</v>
      </c>
      <c r="AF296" s="80">
        <v>0</v>
      </c>
      <c r="AG296" s="83" t="s">
        <v>952</v>
      </c>
      <c r="AH296" s="80" t="b">
        <v>0</v>
      </c>
      <c r="AI296" s="80" t="s">
        <v>967</v>
      </c>
      <c r="AJ296" s="80"/>
      <c r="AK296" s="83" t="s">
        <v>952</v>
      </c>
      <c r="AL296" s="80" t="b">
        <v>0</v>
      </c>
      <c r="AM296" s="80">
        <v>2</v>
      </c>
      <c r="AN296" s="83" t="s">
        <v>867</v>
      </c>
      <c r="AO296" s="83" t="s">
        <v>992</v>
      </c>
      <c r="AP296" s="80" t="b">
        <v>0</v>
      </c>
      <c r="AQ296" s="83" t="s">
        <v>867</v>
      </c>
      <c r="AR296" s="80" t="s">
        <v>196</v>
      </c>
      <c r="AS296" s="80">
        <v>0</v>
      </c>
      <c r="AT296" s="80">
        <v>0</v>
      </c>
      <c r="AU296" s="80"/>
      <c r="AV296" s="80"/>
      <c r="AW296" s="80"/>
      <c r="AX296" s="80"/>
      <c r="AY296" s="80"/>
      <c r="AZ296" s="80"/>
      <c r="BA296" s="80"/>
      <c r="BB296" s="80"/>
      <c r="BC296">
        <v>9</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334</v>
      </c>
      <c r="B297" s="65" t="s">
        <v>331</v>
      </c>
      <c r="C297" s="66" t="s">
        <v>2819</v>
      </c>
      <c r="D297" s="67">
        <v>10</v>
      </c>
      <c r="E297" s="66" t="s">
        <v>136</v>
      </c>
      <c r="F297" s="69">
        <v>6</v>
      </c>
      <c r="G297" s="66"/>
      <c r="H297" s="70"/>
      <c r="I297" s="71"/>
      <c r="J297" s="71"/>
      <c r="K297" s="35" t="s">
        <v>65</v>
      </c>
      <c r="L297" s="72">
        <v>297</v>
      </c>
      <c r="M297" s="72"/>
      <c r="N297" s="73"/>
      <c r="O297" s="80" t="s">
        <v>407</v>
      </c>
      <c r="P297" s="82">
        <v>44476.35335648148</v>
      </c>
      <c r="Q297" s="80" t="s">
        <v>431</v>
      </c>
      <c r="R297" s="85" t="str">
        <f>HYPERLINK("https://econ.trib.al/NL8KzOD")</f>
        <v>https://econ.trib.al/NL8KzOD</v>
      </c>
      <c r="S297" s="80" t="s">
        <v>528</v>
      </c>
      <c r="T297" s="80"/>
      <c r="U297" s="80"/>
      <c r="V297" s="85" t="str">
        <f>HYPERLINK("https://pbs.twimg.com/profile_images/1191749200121348096/BmfItDOa_normal.jpg")</f>
        <v>https://pbs.twimg.com/profile_images/1191749200121348096/BmfItDOa_normal.jpg</v>
      </c>
      <c r="W297" s="82">
        <v>44476.35335648148</v>
      </c>
      <c r="X297" s="87">
        <v>44476</v>
      </c>
      <c r="Y297" s="83" t="s">
        <v>693</v>
      </c>
      <c r="Z297" s="85" t="str">
        <f>HYPERLINK("https://twitter.com/oikos_solutions/status/1446029739601367041")</f>
        <v>https://twitter.com/oikos_solutions/status/1446029739601367041</v>
      </c>
      <c r="AA297" s="80"/>
      <c r="AB297" s="80"/>
      <c r="AC297" s="83" t="s">
        <v>878</v>
      </c>
      <c r="AD297" s="80"/>
      <c r="AE297" s="80" t="b">
        <v>0</v>
      </c>
      <c r="AF297" s="80">
        <v>0</v>
      </c>
      <c r="AG297" s="83" t="s">
        <v>952</v>
      </c>
      <c r="AH297" s="80" t="b">
        <v>0</v>
      </c>
      <c r="AI297" s="80" t="s">
        <v>967</v>
      </c>
      <c r="AJ297" s="80"/>
      <c r="AK297" s="83" t="s">
        <v>952</v>
      </c>
      <c r="AL297" s="80" t="b">
        <v>0</v>
      </c>
      <c r="AM297" s="80">
        <v>2</v>
      </c>
      <c r="AN297" s="83" t="s">
        <v>867</v>
      </c>
      <c r="AO297" s="83" t="s">
        <v>992</v>
      </c>
      <c r="AP297" s="80" t="b">
        <v>0</v>
      </c>
      <c r="AQ297" s="83" t="s">
        <v>867</v>
      </c>
      <c r="AR297" s="80" t="s">
        <v>196</v>
      </c>
      <c r="AS297" s="80">
        <v>0</v>
      </c>
      <c r="AT297" s="80">
        <v>0</v>
      </c>
      <c r="AU297" s="80"/>
      <c r="AV297" s="80"/>
      <c r="AW297" s="80"/>
      <c r="AX297" s="80"/>
      <c r="AY297" s="80"/>
      <c r="AZ297" s="80"/>
      <c r="BA297" s="80"/>
      <c r="BB297" s="80"/>
      <c r="BC297">
        <v>9</v>
      </c>
      <c r="BD297" s="79" t="str">
        <f>REPLACE(INDEX(GroupVertices[Group],MATCH(Edges[[#This Row],[Vertex 1]],GroupVertices[Vertex],0)),1,1,"")</f>
        <v>1</v>
      </c>
      <c r="BE297" s="79" t="str">
        <f>REPLACE(INDEX(GroupVertices[Group],MATCH(Edges[[#This Row],[Vertex 2]],GroupVertices[Vertex],0)),1,1,"")</f>
        <v>1</v>
      </c>
      <c r="BF297" s="49"/>
      <c r="BG297" s="50"/>
      <c r="BH297" s="49"/>
      <c r="BI297" s="50"/>
      <c r="BJ297" s="49"/>
      <c r="BK297" s="50"/>
      <c r="BL297" s="49"/>
      <c r="BM297" s="50"/>
      <c r="BN297" s="49"/>
    </row>
    <row r="298" spans="1:66" ht="15">
      <c r="A298" s="65" t="s">
        <v>334</v>
      </c>
      <c r="B298" s="65" t="s">
        <v>378</v>
      </c>
      <c r="C298" s="66" t="s">
        <v>2819</v>
      </c>
      <c r="D298" s="67">
        <v>10</v>
      </c>
      <c r="E298" s="66" t="s">
        <v>136</v>
      </c>
      <c r="F298" s="69">
        <v>6</v>
      </c>
      <c r="G298" s="66"/>
      <c r="H298" s="70"/>
      <c r="I298" s="71"/>
      <c r="J298" s="71"/>
      <c r="K298" s="35" t="s">
        <v>65</v>
      </c>
      <c r="L298" s="72">
        <v>298</v>
      </c>
      <c r="M298" s="72"/>
      <c r="N298" s="73"/>
      <c r="O298" s="80" t="s">
        <v>407</v>
      </c>
      <c r="P298" s="82">
        <v>44476.35335648148</v>
      </c>
      <c r="Q298" s="80" t="s">
        <v>431</v>
      </c>
      <c r="R298" s="85" t="str">
        <f>HYPERLINK("https://econ.trib.al/NL8KzOD")</f>
        <v>https://econ.trib.al/NL8KzOD</v>
      </c>
      <c r="S298" s="80" t="s">
        <v>528</v>
      </c>
      <c r="T298" s="80"/>
      <c r="U298" s="80"/>
      <c r="V298" s="85" t="str">
        <f>HYPERLINK("https://pbs.twimg.com/profile_images/1191749200121348096/BmfItDOa_normal.jpg")</f>
        <v>https://pbs.twimg.com/profile_images/1191749200121348096/BmfItDOa_normal.jpg</v>
      </c>
      <c r="W298" s="82">
        <v>44476.35335648148</v>
      </c>
      <c r="X298" s="87">
        <v>44476</v>
      </c>
      <c r="Y298" s="83" t="s">
        <v>693</v>
      </c>
      <c r="Z298" s="85" t="str">
        <f>HYPERLINK("https://twitter.com/oikos_solutions/status/1446029739601367041")</f>
        <v>https://twitter.com/oikos_solutions/status/1446029739601367041</v>
      </c>
      <c r="AA298" s="80"/>
      <c r="AB298" s="80"/>
      <c r="AC298" s="83" t="s">
        <v>878</v>
      </c>
      <c r="AD298" s="80"/>
      <c r="AE298" s="80" t="b">
        <v>0</v>
      </c>
      <c r="AF298" s="80">
        <v>0</v>
      </c>
      <c r="AG298" s="83" t="s">
        <v>952</v>
      </c>
      <c r="AH298" s="80" t="b">
        <v>0</v>
      </c>
      <c r="AI298" s="80" t="s">
        <v>967</v>
      </c>
      <c r="AJ298" s="80"/>
      <c r="AK298" s="83" t="s">
        <v>952</v>
      </c>
      <c r="AL298" s="80" t="b">
        <v>0</v>
      </c>
      <c r="AM298" s="80">
        <v>2</v>
      </c>
      <c r="AN298" s="83" t="s">
        <v>867</v>
      </c>
      <c r="AO298" s="83" t="s">
        <v>992</v>
      </c>
      <c r="AP298" s="80" t="b">
        <v>0</v>
      </c>
      <c r="AQ298" s="83" t="s">
        <v>867</v>
      </c>
      <c r="AR298" s="80" t="s">
        <v>196</v>
      </c>
      <c r="AS298" s="80">
        <v>0</v>
      </c>
      <c r="AT298" s="80">
        <v>0</v>
      </c>
      <c r="AU298" s="80"/>
      <c r="AV298" s="80"/>
      <c r="AW298" s="80"/>
      <c r="AX298" s="80"/>
      <c r="AY298" s="80"/>
      <c r="AZ298" s="80"/>
      <c r="BA298" s="80"/>
      <c r="BB298" s="80"/>
      <c r="BC298">
        <v>9</v>
      </c>
      <c r="BD298" s="79" t="str">
        <f>REPLACE(INDEX(GroupVertices[Group],MATCH(Edges[[#This Row],[Vertex 1]],GroupVertices[Vertex],0)),1,1,"")</f>
        <v>1</v>
      </c>
      <c r="BE298" s="79" t="str">
        <f>REPLACE(INDEX(GroupVertices[Group],MATCH(Edges[[#This Row],[Vertex 2]],GroupVertices[Vertex],0)),1,1,"")</f>
        <v>1</v>
      </c>
      <c r="BF298" s="49">
        <v>0</v>
      </c>
      <c r="BG298" s="50">
        <v>0</v>
      </c>
      <c r="BH298" s="49">
        <v>0</v>
      </c>
      <c r="BI298" s="50">
        <v>0</v>
      </c>
      <c r="BJ298" s="49">
        <v>0</v>
      </c>
      <c r="BK298" s="50">
        <v>0</v>
      </c>
      <c r="BL298" s="49">
        <v>34</v>
      </c>
      <c r="BM298" s="50">
        <v>100</v>
      </c>
      <c r="BN298" s="49">
        <v>34</v>
      </c>
    </row>
    <row r="299" spans="1:66" ht="15">
      <c r="A299" s="65" t="s">
        <v>334</v>
      </c>
      <c r="B299" s="65" t="s">
        <v>377</v>
      </c>
      <c r="C299" s="66" t="s">
        <v>2819</v>
      </c>
      <c r="D299" s="67">
        <v>10</v>
      </c>
      <c r="E299" s="66" t="s">
        <v>136</v>
      </c>
      <c r="F299" s="69">
        <v>6</v>
      </c>
      <c r="G299" s="66"/>
      <c r="H299" s="70"/>
      <c r="I299" s="71"/>
      <c r="J299" s="71"/>
      <c r="K299" s="35" t="s">
        <v>65</v>
      </c>
      <c r="L299" s="72">
        <v>299</v>
      </c>
      <c r="M299" s="72"/>
      <c r="N299" s="73"/>
      <c r="O299" s="80" t="s">
        <v>407</v>
      </c>
      <c r="P299" s="82">
        <v>44476.98003472222</v>
      </c>
      <c r="Q299" s="80" t="s">
        <v>481</v>
      </c>
      <c r="R299"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299" s="80" t="s">
        <v>535</v>
      </c>
      <c r="T299" s="80"/>
      <c r="U299" s="80"/>
      <c r="V299" s="85" t="str">
        <f>HYPERLINK("https://pbs.twimg.com/profile_images/1191749200121348096/BmfItDOa_normal.jpg")</f>
        <v>https://pbs.twimg.com/profile_images/1191749200121348096/BmfItDOa_normal.jpg</v>
      </c>
      <c r="W299" s="82">
        <v>44476.98003472222</v>
      </c>
      <c r="X299" s="87">
        <v>44476</v>
      </c>
      <c r="Y299" s="83" t="s">
        <v>698</v>
      </c>
      <c r="Z299" s="85" t="str">
        <f>HYPERLINK("https://twitter.com/oikos_solutions/status/1446256838392098821")</f>
        <v>https://twitter.com/oikos_solutions/status/1446256838392098821</v>
      </c>
      <c r="AA299" s="80"/>
      <c r="AB299" s="80"/>
      <c r="AC299" s="83" t="s">
        <v>884</v>
      </c>
      <c r="AD299" s="80"/>
      <c r="AE299" s="80" t="b">
        <v>0</v>
      </c>
      <c r="AF299" s="80">
        <v>0</v>
      </c>
      <c r="AG299" s="83" t="s">
        <v>952</v>
      </c>
      <c r="AH299" s="80" t="b">
        <v>0</v>
      </c>
      <c r="AI299" s="80" t="s">
        <v>967</v>
      </c>
      <c r="AJ299" s="80"/>
      <c r="AK299" s="83" t="s">
        <v>952</v>
      </c>
      <c r="AL299" s="80" t="b">
        <v>0</v>
      </c>
      <c r="AM299" s="80">
        <v>1</v>
      </c>
      <c r="AN299" s="83" t="s">
        <v>898</v>
      </c>
      <c r="AO299" s="83" t="s">
        <v>992</v>
      </c>
      <c r="AP299" s="80" t="b">
        <v>0</v>
      </c>
      <c r="AQ299" s="83" t="s">
        <v>898</v>
      </c>
      <c r="AR299" s="80" t="s">
        <v>196</v>
      </c>
      <c r="AS299" s="80">
        <v>0</v>
      </c>
      <c r="AT299" s="80">
        <v>0</v>
      </c>
      <c r="AU299" s="80"/>
      <c r="AV299" s="80"/>
      <c r="AW299" s="80"/>
      <c r="AX299" s="80"/>
      <c r="AY299" s="80"/>
      <c r="AZ299" s="80"/>
      <c r="BA299" s="80"/>
      <c r="BB299" s="80"/>
      <c r="BC299">
        <v>9</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334</v>
      </c>
      <c r="B300" s="65" t="s">
        <v>331</v>
      </c>
      <c r="C300" s="66" t="s">
        <v>2819</v>
      </c>
      <c r="D300" s="67">
        <v>10</v>
      </c>
      <c r="E300" s="66" t="s">
        <v>136</v>
      </c>
      <c r="F300" s="69">
        <v>6</v>
      </c>
      <c r="G300" s="66"/>
      <c r="H300" s="70"/>
      <c r="I300" s="71"/>
      <c r="J300" s="71"/>
      <c r="K300" s="35" t="s">
        <v>65</v>
      </c>
      <c r="L300" s="72">
        <v>300</v>
      </c>
      <c r="M300" s="72"/>
      <c r="N300" s="73"/>
      <c r="O300" s="80" t="s">
        <v>407</v>
      </c>
      <c r="P300" s="82">
        <v>44476.98003472222</v>
      </c>
      <c r="Q300" s="80" t="s">
        <v>481</v>
      </c>
      <c r="R300"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00" s="80" t="s">
        <v>535</v>
      </c>
      <c r="T300" s="80"/>
      <c r="U300" s="80"/>
      <c r="V300" s="85" t="str">
        <f>HYPERLINK("https://pbs.twimg.com/profile_images/1191749200121348096/BmfItDOa_normal.jpg")</f>
        <v>https://pbs.twimg.com/profile_images/1191749200121348096/BmfItDOa_normal.jpg</v>
      </c>
      <c r="W300" s="82">
        <v>44476.98003472222</v>
      </c>
      <c r="X300" s="87">
        <v>44476</v>
      </c>
      <c r="Y300" s="83" t="s">
        <v>698</v>
      </c>
      <c r="Z300" s="85" t="str">
        <f>HYPERLINK("https://twitter.com/oikos_solutions/status/1446256838392098821")</f>
        <v>https://twitter.com/oikos_solutions/status/1446256838392098821</v>
      </c>
      <c r="AA300" s="80"/>
      <c r="AB300" s="80"/>
      <c r="AC300" s="83" t="s">
        <v>884</v>
      </c>
      <c r="AD300" s="80"/>
      <c r="AE300" s="80" t="b">
        <v>0</v>
      </c>
      <c r="AF300" s="80">
        <v>0</v>
      </c>
      <c r="AG300" s="83" t="s">
        <v>952</v>
      </c>
      <c r="AH300" s="80" t="b">
        <v>0</v>
      </c>
      <c r="AI300" s="80" t="s">
        <v>967</v>
      </c>
      <c r="AJ300" s="80"/>
      <c r="AK300" s="83" t="s">
        <v>952</v>
      </c>
      <c r="AL300" s="80" t="b">
        <v>0</v>
      </c>
      <c r="AM300" s="80">
        <v>1</v>
      </c>
      <c r="AN300" s="83" t="s">
        <v>898</v>
      </c>
      <c r="AO300" s="83" t="s">
        <v>992</v>
      </c>
      <c r="AP300" s="80" t="b">
        <v>0</v>
      </c>
      <c r="AQ300" s="83" t="s">
        <v>898</v>
      </c>
      <c r="AR300" s="80" t="s">
        <v>196</v>
      </c>
      <c r="AS300" s="80">
        <v>0</v>
      </c>
      <c r="AT300" s="80">
        <v>0</v>
      </c>
      <c r="AU300" s="80"/>
      <c r="AV300" s="80"/>
      <c r="AW300" s="80"/>
      <c r="AX300" s="80"/>
      <c r="AY300" s="80"/>
      <c r="AZ300" s="80"/>
      <c r="BA300" s="80"/>
      <c r="BB300" s="80"/>
      <c r="BC300">
        <v>9</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334</v>
      </c>
      <c r="B301" s="65" t="s">
        <v>378</v>
      </c>
      <c r="C301" s="66" t="s">
        <v>2819</v>
      </c>
      <c r="D301" s="67">
        <v>10</v>
      </c>
      <c r="E301" s="66" t="s">
        <v>136</v>
      </c>
      <c r="F301" s="69">
        <v>6</v>
      </c>
      <c r="G301" s="66"/>
      <c r="H301" s="70"/>
      <c r="I301" s="71"/>
      <c r="J301" s="71"/>
      <c r="K301" s="35" t="s">
        <v>65</v>
      </c>
      <c r="L301" s="72">
        <v>301</v>
      </c>
      <c r="M301" s="72"/>
      <c r="N301" s="73"/>
      <c r="O301" s="80" t="s">
        <v>407</v>
      </c>
      <c r="P301" s="82">
        <v>44476.98003472222</v>
      </c>
      <c r="Q301" s="80" t="s">
        <v>481</v>
      </c>
      <c r="R301"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01" s="80" t="s">
        <v>535</v>
      </c>
      <c r="T301" s="80"/>
      <c r="U301" s="80"/>
      <c r="V301" s="85" t="str">
        <f>HYPERLINK("https://pbs.twimg.com/profile_images/1191749200121348096/BmfItDOa_normal.jpg")</f>
        <v>https://pbs.twimg.com/profile_images/1191749200121348096/BmfItDOa_normal.jpg</v>
      </c>
      <c r="W301" s="82">
        <v>44476.98003472222</v>
      </c>
      <c r="X301" s="87">
        <v>44476</v>
      </c>
      <c r="Y301" s="83" t="s">
        <v>698</v>
      </c>
      <c r="Z301" s="85" t="str">
        <f>HYPERLINK("https://twitter.com/oikos_solutions/status/1446256838392098821")</f>
        <v>https://twitter.com/oikos_solutions/status/1446256838392098821</v>
      </c>
      <c r="AA301" s="80"/>
      <c r="AB301" s="80"/>
      <c r="AC301" s="83" t="s">
        <v>884</v>
      </c>
      <c r="AD301" s="80"/>
      <c r="AE301" s="80" t="b">
        <v>0</v>
      </c>
      <c r="AF301" s="80">
        <v>0</v>
      </c>
      <c r="AG301" s="83" t="s">
        <v>952</v>
      </c>
      <c r="AH301" s="80" t="b">
        <v>0</v>
      </c>
      <c r="AI301" s="80" t="s">
        <v>967</v>
      </c>
      <c r="AJ301" s="80"/>
      <c r="AK301" s="83" t="s">
        <v>952</v>
      </c>
      <c r="AL301" s="80" t="b">
        <v>0</v>
      </c>
      <c r="AM301" s="80">
        <v>1</v>
      </c>
      <c r="AN301" s="83" t="s">
        <v>898</v>
      </c>
      <c r="AO301" s="83" t="s">
        <v>992</v>
      </c>
      <c r="AP301" s="80" t="b">
        <v>0</v>
      </c>
      <c r="AQ301" s="83" t="s">
        <v>898</v>
      </c>
      <c r="AR301" s="80" t="s">
        <v>196</v>
      </c>
      <c r="AS301" s="80">
        <v>0</v>
      </c>
      <c r="AT301" s="80">
        <v>0</v>
      </c>
      <c r="AU301" s="80"/>
      <c r="AV301" s="80"/>
      <c r="AW301" s="80"/>
      <c r="AX301" s="80"/>
      <c r="AY301" s="80"/>
      <c r="AZ301" s="80"/>
      <c r="BA301" s="80"/>
      <c r="BB301" s="80"/>
      <c r="BC301">
        <v>9</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334</v>
      </c>
      <c r="B302" s="65" t="s">
        <v>341</v>
      </c>
      <c r="C302" s="66" t="s">
        <v>2815</v>
      </c>
      <c r="D302" s="67">
        <v>3</v>
      </c>
      <c r="E302" s="66" t="s">
        <v>132</v>
      </c>
      <c r="F302" s="69">
        <v>32</v>
      </c>
      <c r="G302" s="66"/>
      <c r="H302" s="70"/>
      <c r="I302" s="71"/>
      <c r="J302" s="71"/>
      <c r="K302" s="35" t="s">
        <v>65</v>
      </c>
      <c r="L302" s="72">
        <v>302</v>
      </c>
      <c r="M302" s="72"/>
      <c r="N302" s="73"/>
      <c r="O302" s="80" t="s">
        <v>408</v>
      </c>
      <c r="P302" s="82">
        <v>44476.98003472222</v>
      </c>
      <c r="Q302" s="80" t="s">
        <v>481</v>
      </c>
      <c r="R302"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02" s="80" t="s">
        <v>535</v>
      </c>
      <c r="T302" s="80"/>
      <c r="U302" s="80"/>
      <c r="V302" s="85" t="str">
        <f>HYPERLINK("https://pbs.twimg.com/profile_images/1191749200121348096/BmfItDOa_normal.jpg")</f>
        <v>https://pbs.twimg.com/profile_images/1191749200121348096/BmfItDOa_normal.jpg</v>
      </c>
      <c r="W302" s="82">
        <v>44476.98003472222</v>
      </c>
      <c r="X302" s="87">
        <v>44476</v>
      </c>
      <c r="Y302" s="83" t="s">
        <v>698</v>
      </c>
      <c r="Z302" s="85" t="str">
        <f>HYPERLINK("https://twitter.com/oikos_solutions/status/1446256838392098821")</f>
        <v>https://twitter.com/oikos_solutions/status/1446256838392098821</v>
      </c>
      <c r="AA302" s="80"/>
      <c r="AB302" s="80"/>
      <c r="AC302" s="83" t="s">
        <v>884</v>
      </c>
      <c r="AD302" s="80"/>
      <c r="AE302" s="80" t="b">
        <v>0</v>
      </c>
      <c r="AF302" s="80">
        <v>0</v>
      </c>
      <c r="AG302" s="83" t="s">
        <v>952</v>
      </c>
      <c r="AH302" s="80" t="b">
        <v>0</v>
      </c>
      <c r="AI302" s="80" t="s">
        <v>967</v>
      </c>
      <c r="AJ302" s="80"/>
      <c r="AK302" s="83" t="s">
        <v>952</v>
      </c>
      <c r="AL302" s="80" t="b">
        <v>0</v>
      </c>
      <c r="AM302" s="80">
        <v>1</v>
      </c>
      <c r="AN302" s="83" t="s">
        <v>898</v>
      </c>
      <c r="AO302" s="83" t="s">
        <v>992</v>
      </c>
      <c r="AP302" s="80" t="b">
        <v>0</v>
      </c>
      <c r="AQ302" s="83" t="s">
        <v>898</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v>0</v>
      </c>
      <c r="BG302" s="50">
        <v>0</v>
      </c>
      <c r="BH302" s="49">
        <v>0</v>
      </c>
      <c r="BI302" s="50">
        <v>0</v>
      </c>
      <c r="BJ302" s="49">
        <v>0</v>
      </c>
      <c r="BK302" s="50">
        <v>0</v>
      </c>
      <c r="BL302" s="49">
        <v>34</v>
      </c>
      <c r="BM302" s="50">
        <v>100</v>
      </c>
      <c r="BN302" s="49">
        <v>34</v>
      </c>
    </row>
    <row r="303" spans="1:66" ht="15">
      <c r="A303" s="65" t="s">
        <v>334</v>
      </c>
      <c r="B303" s="65" t="s">
        <v>377</v>
      </c>
      <c r="C303" s="66" t="s">
        <v>2819</v>
      </c>
      <c r="D303" s="67">
        <v>10</v>
      </c>
      <c r="E303" s="66" t="s">
        <v>136</v>
      </c>
      <c r="F303" s="69">
        <v>6</v>
      </c>
      <c r="G303" s="66"/>
      <c r="H303" s="70"/>
      <c r="I303" s="71"/>
      <c r="J303" s="71"/>
      <c r="K303" s="35" t="s">
        <v>65</v>
      </c>
      <c r="L303" s="72">
        <v>303</v>
      </c>
      <c r="M303" s="72"/>
      <c r="N303" s="73"/>
      <c r="O303" s="80" t="s">
        <v>407</v>
      </c>
      <c r="P303" s="82">
        <v>44477.35403935185</v>
      </c>
      <c r="Q303" s="80" t="s">
        <v>470</v>
      </c>
      <c r="R303" s="85" t="str">
        <f>HYPERLINK("https://econ.trib.al/AoNqILv")</f>
        <v>https://econ.trib.al/AoNqILv</v>
      </c>
      <c r="S303" s="80" t="s">
        <v>528</v>
      </c>
      <c r="T303" s="80"/>
      <c r="U303" s="80"/>
      <c r="V303" s="85" t="str">
        <f>HYPERLINK("https://pbs.twimg.com/profile_images/1191749200121348096/BmfItDOa_normal.jpg")</f>
        <v>https://pbs.twimg.com/profile_images/1191749200121348096/BmfItDOa_normal.jpg</v>
      </c>
      <c r="W303" s="82">
        <v>44477.35403935185</v>
      </c>
      <c r="X303" s="87">
        <v>44477</v>
      </c>
      <c r="Y303" s="83" t="s">
        <v>694</v>
      </c>
      <c r="Z303" s="85" t="str">
        <f>HYPERLINK("https://twitter.com/oikos_solutions/status/1446392374733725702")</f>
        <v>https://twitter.com/oikos_solutions/status/1446392374733725702</v>
      </c>
      <c r="AA303" s="80"/>
      <c r="AB303" s="80"/>
      <c r="AC303" s="83" t="s">
        <v>879</v>
      </c>
      <c r="AD303" s="80"/>
      <c r="AE303" s="80" t="b">
        <v>0</v>
      </c>
      <c r="AF303" s="80">
        <v>0</v>
      </c>
      <c r="AG303" s="83" t="s">
        <v>952</v>
      </c>
      <c r="AH303" s="80" t="b">
        <v>0</v>
      </c>
      <c r="AI303" s="80" t="s">
        <v>967</v>
      </c>
      <c r="AJ303" s="80"/>
      <c r="AK303" s="83" t="s">
        <v>952</v>
      </c>
      <c r="AL303" s="80" t="b">
        <v>0</v>
      </c>
      <c r="AM303" s="80">
        <v>2</v>
      </c>
      <c r="AN303" s="83" t="s">
        <v>868</v>
      </c>
      <c r="AO303" s="83" t="s">
        <v>992</v>
      </c>
      <c r="AP303" s="80" t="b">
        <v>0</v>
      </c>
      <c r="AQ303" s="83" t="s">
        <v>868</v>
      </c>
      <c r="AR303" s="80" t="s">
        <v>196</v>
      </c>
      <c r="AS303" s="80">
        <v>0</v>
      </c>
      <c r="AT303" s="80">
        <v>0</v>
      </c>
      <c r="AU303" s="80"/>
      <c r="AV303" s="80"/>
      <c r="AW303" s="80"/>
      <c r="AX303" s="80"/>
      <c r="AY303" s="80"/>
      <c r="AZ303" s="80"/>
      <c r="BA303" s="80"/>
      <c r="BB303" s="80"/>
      <c r="BC303">
        <v>9</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334</v>
      </c>
      <c r="B304" s="65" t="s">
        <v>331</v>
      </c>
      <c r="C304" s="66" t="s">
        <v>2819</v>
      </c>
      <c r="D304" s="67">
        <v>10</v>
      </c>
      <c r="E304" s="66" t="s">
        <v>136</v>
      </c>
      <c r="F304" s="69">
        <v>6</v>
      </c>
      <c r="G304" s="66"/>
      <c r="H304" s="70"/>
      <c r="I304" s="71"/>
      <c r="J304" s="71"/>
      <c r="K304" s="35" t="s">
        <v>65</v>
      </c>
      <c r="L304" s="72">
        <v>304</v>
      </c>
      <c r="M304" s="72"/>
      <c r="N304" s="73"/>
      <c r="O304" s="80" t="s">
        <v>407</v>
      </c>
      <c r="P304" s="82">
        <v>44477.35403935185</v>
      </c>
      <c r="Q304" s="80" t="s">
        <v>470</v>
      </c>
      <c r="R304" s="85" t="str">
        <f>HYPERLINK("https://econ.trib.al/AoNqILv")</f>
        <v>https://econ.trib.al/AoNqILv</v>
      </c>
      <c r="S304" s="80" t="s">
        <v>528</v>
      </c>
      <c r="T304" s="80"/>
      <c r="U304" s="80"/>
      <c r="V304" s="85" t="str">
        <f>HYPERLINK("https://pbs.twimg.com/profile_images/1191749200121348096/BmfItDOa_normal.jpg")</f>
        <v>https://pbs.twimg.com/profile_images/1191749200121348096/BmfItDOa_normal.jpg</v>
      </c>
      <c r="W304" s="82">
        <v>44477.35403935185</v>
      </c>
      <c r="X304" s="87">
        <v>44477</v>
      </c>
      <c r="Y304" s="83" t="s">
        <v>694</v>
      </c>
      <c r="Z304" s="85" t="str">
        <f>HYPERLINK("https://twitter.com/oikos_solutions/status/1446392374733725702")</f>
        <v>https://twitter.com/oikos_solutions/status/1446392374733725702</v>
      </c>
      <c r="AA304" s="80"/>
      <c r="AB304" s="80"/>
      <c r="AC304" s="83" t="s">
        <v>879</v>
      </c>
      <c r="AD304" s="80"/>
      <c r="AE304" s="80" t="b">
        <v>0</v>
      </c>
      <c r="AF304" s="80">
        <v>0</v>
      </c>
      <c r="AG304" s="83" t="s">
        <v>952</v>
      </c>
      <c r="AH304" s="80" t="b">
        <v>0</v>
      </c>
      <c r="AI304" s="80" t="s">
        <v>967</v>
      </c>
      <c r="AJ304" s="80"/>
      <c r="AK304" s="83" t="s">
        <v>952</v>
      </c>
      <c r="AL304" s="80" t="b">
        <v>0</v>
      </c>
      <c r="AM304" s="80">
        <v>2</v>
      </c>
      <c r="AN304" s="83" t="s">
        <v>868</v>
      </c>
      <c r="AO304" s="83" t="s">
        <v>992</v>
      </c>
      <c r="AP304" s="80" t="b">
        <v>0</v>
      </c>
      <c r="AQ304" s="83" t="s">
        <v>868</v>
      </c>
      <c r="AR304" s="80" t="s">
        <v>196</v>
      </c>
      <c r="AS304" s="80">
        <v>0</v>
      </c>
      <c r="AT304" s="80">
        <v>0</v>
      </c>
      <c r="AU304" s="80"/>
      <c r="AV304" s="80"/>
      <c r="AW304" s="80"/>
      <c r="AX304" s="80"/>
      <c r="AY304" s="80"/>
      <c r="AZ304" s="80"/>
      <c r="BA304" s="80"/>
      <c r="BB304" s="80"/>
      <c r="BC304">
        <v>9</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334</v>
      </c>
      <c r="B305" s="65" t="s">
        <v>378</v>
      </c>
      <c r="C305" s="66" t="s">
        <v>2819</v>
      </c>
      <c r="D305" s="67">
        <v>10</v>
      </c>
      <c r="E305" s="66" t="s">
        <v>136</v>
      </c>
      <c r="F305" s="69">
        <v>6</v>
      </c>
      <c r="G305" s="66"/>
      <c r="H305" s="70"/>
      <c r="I305" s="71"/>
      <c r="J305" s="71"/>
      <c r="K305" s="35" t="s">
        <v>65</v>
      </c>
      <c r="L305" s="72">
        <v>305</v>
      </c>
      <c r="M305" s="72"/>
      <c r="N305" s="73"/>
      <c r="O305" s="80" t="s">
        <v>407</v>
      </c>
      <c r="P305" s="82">
        <v>44477.35403935185</v>
      </c>
      <c r="Q305" s="80" t="s">
        <v>470</v>
      </c>
      <c r="R305" s="85" t="str">
        <f>HYPERLINK("https://econ.trib.al/AoNqILv")</f>
        <v>https://econ.trib.al/AoNqILv</v>
      </c>
      <c r="S305" s="80" t="s">
        <v>528</v>
      </c>
      <c r="T305" s="80"/>
      <c r="U305" s="80"/>
      <c r="V305" s="85" t="str">
        <f>HYPERLINK("https://pbs.twimg.com/profile_images/1191749200121348096/BmfItDOa_normal.jpg")</f>
        <v>https://pbs.twimg.com/profile_images/1191749200121348096/BmfItDOa_normal.jpg</v>
      </c>
      <c r="W305" s="82">
        <v>44477.35403935185</v>
      </c>
      <c r="X305" s="87">
        <v>44477</v>
      </c>
      <c r="Y305" s="83" t="s">
        <v>694</v>
      </c>
      <c r="Z305" s="85" t="str">
        <f>HYPERLINK("https://twitter.com/oikos_solutions/status/1446392374733725702")</f>
        <v>https://twitter.com/oikos_solutions/status/1446392374733725702</v>
      </c>
      <c r="AA305" s="80"/>
      <c r="AB305" s="80"/>
      <c r="AC305" s="83" t="s">
        <v>879</v>
      </c>
      <c r="AD305" s="80"/>
      <c r="AE305" s="80" t="b">
        <v>0</v>
      </c>
      <c r="AF305" s="80">
        <v>0</v>
      </c>
      <c r="AG305" s="83" t="s">
        <v>952</v>
      </c>
      <c r="AH305" s="80" t="b">
        <v>0</v>
      </c>
      <c r="AI305" s="80" t="s">
        <v>967</v>
      </c>
      <c r="AJ305" s="80"/>
      <c r="AK305" s="83" t="s">
        <v>952</v>
      </c>
      <c r="AL305" s="80" t="b">
        <v>0</v>
      </c>
      <c r="AM305" s="80">
        <v>2</v>
      </c>
      <c r="AN305" s="83" t="s">
        <v>868</v>
      </c>
      <c r="AO305" s="83" t="s">
        <v>992</v>
      </c>
      <c r="AP305" s="80" t="b">
        <v>0</v>
      </c>
      <c r="AQ305" s="83" t="s">
        <v>868</v>
      </c>
      <c r="AR305" s="80" t="s">
        <v>196</v>
      </c>
      <c r="AS305" s="80">
        <v>0</v>
      </c>
      <c r="AT305" s="80">
        <v>0</v>
      </c>
      <c r="AU305" s="80"/>
      <c r="AV305" s="80"/>
      <c r="AW305" s="80"/>
      <c r="AX305" s="80"/>
      <c r="AY305" s="80"/>
      <c r="AZ305" s="80"/>
      <c r="BA305" s="80"/>
      <c r="BB305" s="80"/>
      <c r="BC305">
        <v>9</v>
      </c>
      <c r="BD305" s="79" t="str">
        <f>REPLACE(INDEX(GroupVertices[Group],MATCH(Edges[[#This Row],[Vertex 1]],GroupVertices[Vertex],0)),1,1,"")</f>
        <v>1</v>
      </c>
      <c r="BE305" s="79" t="str">
        <f>REPLACE(INDEX(GroupVertices[Group],MATCH(Edges[[#This Row],[Vertex 2]],GroupVertices[Vertex],0)),1,1,"")</f>
        <v>1</v>
      </c>
      <c r="BF305" s="49">
        <v>0</v>
      </c>
      <c r="BG305" s="50">
        <v>0</v>
      </c>
      <c r="BH305" s="49">
        <v>0</v>
      </c>
      <c r="BI305" s="50">
        <v>0</v>
      </c>
      <c r="BJ305" s="49">
        <v>0</v>
      </c>
      <c r="BK305" s="50">
        <v>0</v>
      </c>
      <c r="BL305" s="49">
        <v>34</v>
      </c>
      <c r="BM305" s="50">
        <v>100</v>
      </c>
      <c r="BN305" s="49">
        <v>34</v>
      </c>
    </row>
    <row r="306" spans="1:66" ht="15">
      <c r="A306" s="65" t="s">
        <v>334</v>
      </c>
      <c r="B306" s="65" t="s">
        <v>377</v>
      </c>
      <c r="C306" s="66" t="s">
        <v>2819</v>
      </c>
      <c r="D306" s="67">
        <v>10</v>
      </c>
      <c r="E306" s="66" t="s">
        <v>136</v>
      </c>
      <c r="F306" s="69">
        <v>6</v>
      </c>
      <c r="G306" s="66"/>
      <c r="H306" s="70"/>
      <c r="I306" s="71"/>
      <c r="J306" s="71"/>
      <c r="K306" s="35" t="s">
        <v>65</v>
      </c>
      <c r="L306" s="72">
        <v>306</v>
      </c>
      <c r="M306" s="72"/>
      <c r="N306" s="73"/>
      <c r="O306" s="80" t="s">
        <v>407</v>
      </c>
      <c r="P306" s="82">
        <v>44477.35425925926</v>
      </c>
      <c r="Q306" s="80" t="s">
        <v>477</v>
      </c>
      <c r="R306" s="85" t="str">
        <f>HYPERLINK("https://econ.trib.al/AoNqILv")</f>
        <v>https://econ.trib.al/AoNqILv</v>
      </c>
      <c r="S306" s="80" t="s">
        <v>528</v>
      </c>
      <c r="T306" s="80"/>
      <c r="U306" s="80"/>
      <c r="V306" s="85" t="str">
        <f>HYPERLINK("https://pbs.twimg.com/profile_images/1191749200121348096/BmfItDOa_normal.jpg")</f>
        <v>https://pbs.twimg.com/profile_images/1191749200121348096/BmfItDOa_normal.jpg</v>
      </c>
      <c r="W306" s="82">
        <v>44477.35425925926</v>
      </c>
      <c r="X306" s="87">
        <v>44477</v>
      </c>
      <c r="Y306" s="83" t="s">
        <v>695</v>
      </c>
      <c r="Z306" s="85" t="str">
        <f>HYPERLINK("https://twitter.com/oikos_solutions/status/1446392454148677642")</f>
        <v>https://twitter.com/oikos_solutions/status/1446392454148677642</v>
      </c>
      <c r="AA306" s="80"/>
      <c r="AB306" s="80"/>
      <c r="AC306" s="83" t="s">
        <v>880</v>
      </c>
      <c r="AD306" s="80"/>
      <c r="AE306" s="80" t="b">
        <v>0</v>
      </c>
      <c r="AF306" s="80">
        <v>0</v>
      </c>
      <c r="AG306" s="83" t="s">
        <v>952</v>
      </c>
      <c r="AH306" s="80" t="b">
        <v>0</v>
      </c>
      <c r="AI306" s="80" t="s">
        <v>967</v>
      </c>
      <c r="AJ306" s="80"/>
      <c r="AK306" s="83" t="s">
        <v>952</v>
      </c>
      <c r="AL306" s="80" t="b">
        <v>0</v>
      </c>
      <c r="AM306" s="80">
        <v>1</v>
      </c>
      <c r="AN306" s="83" t="s">
        <v>874</v>
      </c>
      <c r="AO306" s="83" t="s">
        <v>992</v>
      </c>
      <c r="AP306" s="80" t="b">
        <v>0</v>
      </c>
      <c r="AQ306" s="83" t="s">
        <v>874</v>
      </c>
      <c r="AR306" s="80" t="s">
        <v>196</v>
      </c>
      <c r="AS306" s="80">
        <v>0</v>
      </c>
      <c r="AT306" s="80">
        <v>0</v>
      </c>
      <c r="AU306" s="80"/>
      <c r="AV306" s="80"/>
      <c r="AW306" s="80"/>
      <c r="AX306" s="80"/>
      <c r="AY306" s="80"/>
      <c r="AZ306" s="80"/>
      <c r="BA306" s="80"/>
      <c r="BB306" s="80"/>
      <c r="BC306">
        <v>9</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334</v>
      </c>
      <c r="B307" s="65" t="s">
        <v>331</v>
      </c>
      <c r="C307" s="66" t="s">
        <v>2819</v>
      </c>
      <c r="D307" s="67">
        <v>10</v>
      </c>
      <c r="E307" s="66" t="s">
        <v>136</v>
      </c>
      <c r="F307" s="69">
        <v>6</v>
      </c>
      <c r="G307" s="66"/>
      <c r="H307" s="70"/>
      <c r="I307" s="71"/>
      <c r="J307" s="71"/>
      <c r="K307" s="35" t="s">
        <v>65</v>
      </c>
      <c r="L307" s="72">
        <v>307</v>
      </c>
      <c r="M307" s="72"/>
      <c r="N307" s="73"/>
      <c r="O307" s="80" t="s">
        <v>407</v>
      </c>
      <c r="P307" s="82">
        <v>44477.35425925926</v>
      </c>
      <c r="Q307" s="80" t="s">
        <v>477</v>
      </c>
      <c r="R307" s="85" t="str">
        <f>HYPERLINK("https://econ.trib.al/AoNqILv")</f>
        <v>https://econ.trib.al/AoNqILv</v>
      </c>
      <c r="S307" s="80" t="s">
        <v>528</v>
      </c>
      <c r="T307" s="80"/>
      <c r="U307" s="80"/>
      <c r="V307" s="85" t="str">
        <f>HYPERLINK("https://pbs.twimg.com/profile_images/1191749200121348096/BmfItDOa_normal.jpg")</f>
        <v>https://pbs.twimg.com/profile_images/1191749200121348096/BmfItDOa_normal.jpg</v>
      </c>
      <c r="W307" s="82">
        <v>44477.35425925926</v>
      </c>
      <c r="X307" s="87">
        <v>44477</v>
      </c>
      <c r="Y307" s="83" t="s">
        <v>695</v>
      </c>
      <c r="Z307" s="85" t="str">
        <f>HYPERLINK("https://twitter.com/oikos_solutions/status/1446392454148677642")</f>
        <v>https://twitter.com/oikos_solutions/status/1446392454148677642</v>
      </c>
      <c r="AA307" s="80"/>
      <c r="AB307" s="80"/>
      <c r="AC307" s="83" t="s">
        <v>880</v>
      </c>
      <c r="AD307" s="80"/>
      <c r="AE307" s="80" t="b">
        <v>0</v>
      </c>
      <c r="AF307" s="80">
        <v>0</v>
      </c>
      <c r="AG307" s="83" t="s">
        <v>952</v>
      </c>
      <c r="AH307" s="80" t="b">
        <v>0</v>
      </c>
      <c r="AI307" s="80" t="s">
        <v>967</v>
      </c>
      <c r="AJ307" s="80"/>
      <c r="AK307" s="83" t="s">
        <v>952</v>
      </c>
      <c r="AL307" s="80" t="b">
        <v>0</v>
      </c>
      <c r="AM307" s="80">
        <v>1</v>
      </c>
      <c r="AN307" s="83" t="s">
        <v>874</v>
      </c>
      <c r="AO307" s="83" t="s">
        <v>992</v>
      </c>
      <c r="AP307" s="80" t="b">
        <v>0</v>
      </c>
      <c r="AQ307" s="83" t="s">
        <v>874</v>
      </c>
      <c r="AR307" s="80" t="s">
        <v>196</v>
      </c>
      <c r="AS307" s="80">
        <v>0</v>
      </c>
      <c r="AT307" s="80">
        <v>0</v>
      </c>
      <c r="AU307" s="80"/>
      <c r="AV307" s="80"/>
      <c r="AW307" s="80"/>
      <c r="AX307" s="80"/>
      <c r="AY307" s="80"/>
      <c r="AZ307" s="80"/>
      <c r="BA307" s="80"/>
      <c r="BB307" s="80"/>
      <c r="BC307">
        <v>9</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334</v>
      </c>
      <c r="B308" s="65" t="s">
        <v>378</v>
      </c>
      <c r="C308" s="66" t="s">
        <v>2819</v>
      </c>
      <c r="D308" s="67">
        <v>10</v>
      </c>
      <c r="E308" s="66" t="s">
        <v>136</v>
      </c>
      <c r="F308" s="69">
        <v>6</v>
      </c>
      <c r="G308" s="66"/>
      <c r="H308" s="70"/>
      <c r="I308" s="71"/>
      <c r="J308" s="71"/>
      <c r="K308" s="35" t="s">
        <v>65</v>
      </c>
      <c r="L308" s="72">
        <v>308</v>
      </c>
      <c r="M308" s="72"/>
      <c r="N308" s="73"/>
      <c r="O308" s="80" t="s">
        <v>407</v>
      </c>
      <c r="P308" s="82">
        <v>44477.35425925926</v>
      </c>
      <c r="Q308" s="80" t="s">
        <v>477</v>
      </c>
      <c r="R308" s="85" t="str">
        <f>HYPERLINK("https://econ.trib.al/AoNqILv")</f>
        <v>https://econ.trib.al/AoNqILv</v>
      </c>
      <c r="S308" s="80" t="s">
        <v>528</v>
      </c>
      <c r="T308" s="80"/>
      <c r="U308" s="80"/>
      <c r="V308" s="85" t="str">
        <f>HYPERLINK("https://pbs.twimg.com/profile_images/1191749200121348096/BmfItDOa_normal.jpg")</f>
        <v>https://pbs.twimg.com/profile_images/1191749200121348096/BmfItDOa_normal.jpg</v>
      </c>
      <c r="W308" s="82">
        <v>44477.35425925926</v>
      </c>
      <c r="X308" s="87">
        <v>44477</v>
      </c>
      <c r="Y308" s="83" t="s">
        <v>695</v>
      </c>
      <c r="Z308" s="85" t="str">
        <f>HYPERLINK("https://twitter.com/oikos_solutions/status/1446392454148677642")</f>
        <v>https://twitter.com/oikos_solutions/status/1446392454148677642</v>
      </c>
      <c r="AA308" s="80"/>
      <c r="AB308" s="80"/>
      <c r="AC308" s="83" t="s">
        <v>880</v>
      </c>
      <c r="AD308" s="80"/>
      <c r="AE308" s="80" t="b">
        <v>0</v>
      </c>
      <c r="AF308" s="80">
        <v>0</v>
      </c>
      <c r="AG308" s="83" t="s">
        <v>952</v>
      </c>
      <c r="AH308" s="80" t="b">
        <v>0</v>
      </c>
      <c r="AI308" s="80" t="s">
        <v>967</v>
      </c>
      <c r="AJ308" s="80"/>
      <c r="AK308" s="83" t="s">
        <v>952</v>
      </c>
      <c r="AL308" s="80" t="b">
        <v>0</v>
      </c>
      <c r="AM308" s="80">
        <v>1</v>
      </c>
      <c r="AN308" s="83" t="s">
        <v>874</v>
      </c>
      <c r="AO308" s="83" t="s">
        <v>992</v>
      </c>
      <c r="AP308" s="80" t="b">
        <v>0</v>
      </c>
      <c r="AQ308" s="83" t="s">
        <v>874</v>
      </c>
      <c r="AR308" s="80" t="s">
        <v>196</v>
      </c>
      <c r="AS308" s="80">
        <v>0</v>
      </c>
      <c r="AT308" s="80">
        <v>0</v>
      </c>
      <c r="AU308" s="80"/>
      <c r="AV308" s="80"/>
      <c r="AW308" s="80"/>
      <c r="AX308" s="80"/>
      <c r="AY308" s="80"/>
      <c r="AZ308" s="80"/>
      <c r="BA308" s="80"/>
      <c r="BB308" s="80"/>
      <c r="BC308">
        <v>9</v>
      </c>
      <c r="BD308" s="79" t="str">
        <f>REPLACE(INDEX(GroupVertices[Group],MATCH(Edges[[#This Row],[Vertex 1]],GroupVertices[Vertex],0)),1,1,"")</f>
        <v>1</v>
      </c>
      <c r="BE308" s="79" t="str">
        <f>REPLACE(INDEX(GroupVertices[Group],MATCH(Edges[[#This Row],[Vertex 2]],GroupVertices[Vertex],0)),1,1,"")</f>
        <v>1</v>
      </c>
      <c r="BF308" s="49">
        <v>0</v>
      </c>
      <c r="BG308" s="50">
        <v>0</v>
      </c>
      <c r="BH308" s="49">
        <v>0</v>
      </c>
      <c r="BI308" s="50">
        <v>0</v>
      </c>
      <c r="BJ308" s="49">
        <v>0</v>
      </c>
      <c r="BK308" s="50">
        <v>0</v>
      </c>
      <c r="BL308" s="49">
        <v>36</v>
      </c>
      <c r="BM308" s="50">
        <v>100</v>
      </c>
      <c r="BN308" s="49">
        <v>36</v>
      </c>
    </row>
    <row r="309" spans="1:66" ht="15">
      <c r="A309" s="65" t="s">
        <v>334</v>
      </c>
      <c r="B309" s="65" t="s">
        <v>377</v>
      </c>
      <c r="C309" s="66" t="s">
        <v>2819</v>
      </c>
      <c r="D309" s="67">
        <v>10</v>
      </c>
      <c r="E309" s="66" t="s">
        <v>136</v>
      </c>
      <c r="F309" s="69">
        <v>6</v>
      </c>
      <c r="G309" s="66"/>
      <c r="H309" s="70"/>
      <c r="I309" s="71"/>
      <c r="J309" s="71"/>
      <c r="K309" s="35" t="s">
        <v>65</v>
      </c>
      <c r="L309" s="72">
        <v>309</v>
      </c>
      <c r="M309" s="72"/>
      <c r="N309" s="73"/>
      <c r="O309" s="80" t="s">
        <v>407</v>
      </c>
      <c r="P309" s="82">
        <v>44478.18790509259</v>
      </c>
      <c r="Q309" s="80" t="s">
        <v>452</v>
      </c>
      <c r="R309" s="85" t="str">
        <f>HYPERLINK("https://econ.trib.al/B6siniM")</f>
        <v>https://econ.trib.al/B6siniM</v>
      </c>
      <c r="S309" s="80" t="s">
        <v>528</v>
      </c>
      <c r="T309" s="80"/>
      <c r="U309" s="80"/>
      <c r="V309" s="85" t="str">
        <f>HYPERLINK("https://pbs.twimg.com/profile_images/1191749200121348096/BmfItDOa_normal.jpg")</f>
        <v>https://pbs.twimg.com/profile_images/1191749200121348096/BmfItDOa_normal.jpg</v>
      </c>
      <c r="W309" s="82">
        <v>44478.18790509259</v>
      </c>
      <c r="X309" s="87">
        <v>44478</v>
      </c>
      <c r="Y309" s="83" t="s">
        <v>699</v>
      </c>
      <c r="Z309" s="85" t="str">
        <f>HYPERLINK("https://twitter.com/oikos_solutions/status/1446694559455531008")</f>
        <v>https://twitter.com/oikos_solutions/status/1446694559455531008</v>
      </c>
      <c r="AA309" s="80"/>
      <c r="AB309" s="80"/>
      <c r="AC309" s="83" t="s">
        <v>885</v>
      </c>
      <c r="AD309" s="80"/>
      <c r="AE309" s="80" t="b">
        <v>0</v>
      </c>
      <c r="AF309" s="80">
        <v>0</v>
      </c>
      <c r="AG309" s="83" t="s">
        <v>952</v>
      </c>
      <c r="AH309" s="80" t="b">
        <v>0</v>
      </c>
      <c r="AI309" s="80" t="s">
        <v>967</v>
      </c>
      <c r="AJ309" s="80"/>
      <c r="AK309" s="83" t="s">
        <v>952</v>
      </c>
      <c r="AL309" s="80" t="b">
        <v>0</v>
      </c>
      <c r="AM309" s="80">
        <v>12</v>
      </c>
      <c r="AN309" s="83" t="s">
        <v>895</v>
      </c>
      <c r="AO309" s="83" t="s">
        <v>992</v>
      </c>
      <c r="AP309" s="80" t="b">
        <v>0</v>
      </c>
      <c r="AQ309" s="83" t="s">
        <v>895</v>
      </c>
      <c r="AR309" s="80" t="s">
        <v>196</v>
      </c>
      <c r="AS309" s="80">
        <v>0</v>
      </c>
      <c r="AT309" s="80">
        <v>0</v>
      </c>
      <c r="AU309" s="80"/>
      <c r="AV309" s="80"/>
      <c r="AW309" s="80"/>
      <c r="AX309" s="80"/>
      <c r="AY309" s="80"/>
      <c r="AZ309" s="80"/>
      <c r="BA309" s="80"/>
      <c r="BB309" s="80"/>
      <c r="BC309">
        <v>9</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334</v>
      </c>
      <c r="B310" s="65" t="s">
        <v>331</v>
      </c>
      <c r="C310" s="66" t="s">
        <v>2819</v>
      </c>
      <c r="D310" s="67">
        <v>10</v>
      </c>
      <c r="E310" s="66" t="s">
        <v>136</v>
      </c>
      <c r="F310" s="69">
        <v>6</v>
      </c>
      <c r="G310" s="66"/>
      <c r="H310" s="70"/>
      <c r="I310" s="71"/>
      <c r="J310" s="71"/>
      <c r="K310" s="35" t="s">
        <v>65</v>
      </c>
      <c r="L310" s="72">
        <v>310</v>
      </c>
      <c r="M310" s="72"/>
      <c r="N310" s="73"/>
      <c r="O310" s="80" t="s">
        <v>407</v>
      </c>
      <c r="P310" s="82">
        <v>44478.18790509259</v>
      </c>
      <c r="Q310" s="80" t="s">
        <v>452</v>
      </c>
      <c r="R310" s="85" t="str">
        <f>HYPERLINK("https://econ.trib.al/B6siniM")</f>
        <v>https://econ.trib.al/B6siniM</v>
      </c>
      <c r="S310" s="80" t="s">
        <v>528</v>
      </c>
      <c r="T310" s="80"/>
      <c r="U310" s="80"/>
      <c r="V310" s="85" t="str">
        <f>HYPERLINK("https://pbs.twimg.com/profile_images/1191749200121348096/BmfItDOa_normal.jpg")</f>
        <v>https://pbs.twimg.com/profile_images/1191749200121348096/BmfItDOa_normal.jpg</v>
      </c>
      <c r="W310" s="82">
        <v>44478.18790509259</v>
      </c>
      <c r="X310" s="87">
        <v>44478</v>
      </c>
      <c r="Y310" s="83" t="s">
        <v>699</v>
      </c>
      <c r="Z310" s="85" t="str">
        <f>HYPERLINK("https://twitter.com/oikos_solutions/status/1446694559455531008")</f>
        <v>https://twitter.com/oikos_solutions/status/1446694559455531008</v>
      </c>
      <c r="AA310" s="80"/>
      <c r="AB310" s="80"/>
      <c r="AC310" s="83" t="s">
        <v>885</v>
      </c>
      <c r="AD310" s="80"/>
      <c r="AE310" s="80" t="b">
        <v>0</v>
      </c>
      <c r="AF310" s="80">
        <v>0</v>
      </c>
      <c r="AG310" s="83" t="s">
        <v>952</v>
      </c>
      <c r="AH310" s="80" t="b">
        <v>0</v>
      </c>
      <c r="AI310" s="80" t="s">
        <v>967</v>
      </c>
      <c r="AJ310" s="80"/>
      <c r="AK310" s="83" t="s">
        <v>952</v>
      </c>
      <c r="AL310" s="80" t="b">
        <v>0</v>
      </c>
      <c r="AM310" s="80">
        <v>12</v>
      </c>
      <c r="AN310" s="83" t="s">
        <v>895</v>
      </c>
      <c r="AO310" s="83" t="s">
        <v>992</v>
      </c>
      <c r="AP310" s="80" t="b">
        <v>0</v>
      </c>
      <c r="AQ310" s="83" t="s">
        <v>895</v>
      </c>
      <c r="AR310" s="80" t="s">
        <v>196</v>
      </c>
      <c r="AS310" s="80">
        <v>0</v>
      </c>
      <c r="AT310" s="80">
        <v>0</v>
      </c>
      <c r="AU310" s="80"/>
      <c r="AV310" s="80"/>
      <c r="AW310" s="80"/>
      <c r="AX310" s="80"/>
      <c r="AY310" s="80"/>
      <c r="AZ310" s="80"/>
      <c r="BA310" s="80"/>
      <c r="BB310" s="80"/>
      <c r="BC310">
        <v>9</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334</v>
      </c>
      <c r="B311" s="65" t="s">
        <v>378</v>
      </c>
      <c r="C311" s="66" t="s">
        <v>2819</v>
      </c>
      <c r="D311" s="67">
        <v>10</v>
      </c>
      <c r="E311" s="66" t="s">
        <v>136</v>
      </c>
      <c r="F311" s="69">
        <v>6</v>
      </c>
      <c r="G311" s="66"/>
      <c r="H311" s="70"/>
      <c r="I311" s="71"/>
      <c r="J311" s="71"/>
      <c r="K311" s="35" t="s">
        <v>65</v>
      </c>
      <c r="L311" s="72">
        <v>311</v>
      </c>
      <c r="M311" s="72"/>
      <c r="N311" s="73"/>
      <c r="O311" s="80" t="s">
        <v>407</v>
      </c>
      <c r="P311" s="82">
        <v>44478.18790509259</v>
      </c>
      <c r="Q311" s="80" t="s">
        <v>452</v>
      </c>
      <c r="R311" s="85" t="str">
        <f>HYPERLINK("https://econ.trib.al/B6siniM")</f>
        <v>https://econ.trib.al/B6siniM</v>
      </c>
      <c r="S311" s="80" t="s">
        <v>528</v>
      </c>
      <c r="T311" s="80"/>
      <c r="U311" s="80"/>
      <c r="V311" s="85" t="str">
        <f>HYPERLINK("https://pbs.twimg.com/profile_images/1191749200121348096/BmfItDOa_normal.jpg")</f>
        <v>https://pbs.twimg.com/profile_images/1191749200121348096/BmfItDOa_normal.jpg</v>
      </c>
      <c r="W311" s="82">
        <v>44478.18790509259</v>
      </c>
      <c r="X311" s="87">
        <v>44478</v>
      </c>
      <c r="Y311" s="83" t="s">
        <v>699</v>
      </c>
      <c r="Z311" s="85" t="str">
        <f>HYPERLINK("https://twitter.com/oikos_solutions/status/1446694559455531008")</f>
        <v>https://twitter.com/oikos_solutions/status/1446694559455531008</v>
      </c>
      <c r="AA311" s="80"/>
      <c r="AB311" s="80"/>
      <c r="AC311" s="83" t="s">
        <v>885</v>
      </c>
      <c r="AD311" s="80"/>
      <c r="AE311" s="80" t="b">
        <v>0</v>
      </c>
      <c r="AF311" s="80">
        <v>0</v>
      </c>
      <c r="AG311" s="83" t="s">
        <v>952</v>
      </c>
      <c r="AH311" s="80" t="b">
        <v>0</v>
      </c>
      <c r="AI311" s="80" t="s">
        <v>967</v>
      </c>
      <c r="AJ311" s="80"/>
      <c r="AK311" s="83" t="s">
        <v>952</v>
      </c>
      <c r="AL311" s="80" t="b">
        <v>0</v>
      </c>
      <c r="AM311" s="80">
        <v>12</v>
      </c>
      <c r="AN311" s="83" t="s">
        <v>895</v>
      </c>
      <c r="AO311" s="83" t="s">
        <v>992</v>
      </c>
      <c r="AP311" s="80" t="b">
        <v>0</v>
      </c>
      <c r="AQ311" s="83" t="s">
        <v>895</v>
      </c>
      <c r="AR311" s="80" t="s">
        <v>196</v>
      </c>
      <c r="AS311" s="80">
        <v>0</v>
      </c>
      <c r="AT311" s="80">
        <v>0</v>
      </c>
      <c r="AU311" s="80"/>
      <c r="AV311" s="80"/>
      <c r="AW311" s="80"/>
      <c r="AX311" s="80"/>
      <c r="AY311" s="80"/>
      <c r="AZ311" s="80"/>
      <c r="BA311" s="80"/>
      <c r="BB311" s="80"/>
      <c r="BC311">
        <v>9</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334</v>
      </c>
      <c r="B312" s="65" t="s">
        <v>342</v>
      </c>
      <c r="C312" s="66" t="s">
        <v>2816</v>
      </c>
      <c r="D312" s="67">
        <v>6.5</v>
      </c>
      <c r="E312" s="66" t="s">
        <v>136</v>
      </c>
      <c r="F312" s="69">
        <v>28.75</v>
      </c>
      <c r="G312" s="66"/>
      <c r="H312" s="70"/>
      <c r="I312" s="71"/>
      <c r="J312" s="71"/>
      <c r="K312" s="35" t="s">
        <v>65</v>
      </c>
      <c r="L312" s="72">
        <v>312</v>
      </c>
      <c r="M312" s="72"/>
      <c r="N312" s="73"/>
      <c r="O312" s="80" t="s">
        <v>408</v>
      </c>
      <c r="P312" s="82">
        <v>44478.18790509259</v>
      </c>
      <c r="Q312" s="80" t="s">
        <v>452</v>
      </c>
      <c r="R312" s="85" t="str">
        <f>HYPERLINK("https://econ.trib.al/B6siniM")</f>
        <v>https://econ.trib.al/B6siniM</v>
      </c>
      <c r="S312" s="80" t="s">
        <v>528</v>
      </c>
      <c r="T312" s="80"/>
      <c r="U312" s="80"/>
      <c r="V312" s="85" t="str">
        <f>HYPERLINK("https://pbs.twimg.com/profile_images/1191749200121348096/BmfItDOa_normal.jpg")</f>
        <v>https://pbs.twimg.com/profile_images/1191749200121348096/BmfItDOa_normal.jpg</v>
      </c>
      <c r="W312" s="82">
        <v>44478.18790509259</v>
      </c>
      <c r="X312" s="87">
        <v>44478</v>
      </c>
      <c r="Y312" s="83" t="s">
        <v>699</v>
      </c>
      <c r="Z312" s="85" t="str">
        <f>HYPERLINK("https://twitter.com/oikos_solutions/status/1446694559455531008")</f>
        <v>https://twitter.com/oikos_solutions/status/1446694559455531008</v>
      </c>
      <c r="AA312" s="80"/>
      <c r="AB312" s="80"/>
      <c r="AC312" s="83" t="s">
        <v>885</v>
      </c>
      <c r="AD312" s="80"/>
      <c r="AE312" s="80" t="b">
        <v>0</v>
      </c>
      <c r="AF312" s="80">
        <v>0</v>
      </c>
      <c r="AG312" s="83" t="s">
        <v>952</v>
      </c>
      <c r="AH312" s="80" t="b">
        <v>0</v>
      </c>
      <c r="AI312" s="80" t="s">
        <v>967</v>
      </c>
      <c r="AJ312" s="80"/>
      <c r="AK312" s="83" t="s">
        <v>952</v>
      </c>
      <c r="AL312" s="80" t="b">
        <v>0</v>
      </c>
      <c r="AM312" s="80">
        <v>12</v>
      </c>
      <c r="AN312" s="83" t="s">
        <v>895</v>
      </c>
      <c r="AO312" s="83" t="s">
        <v>992</v>
      </c>
      <c r="AP312" s="80" t="b">
        <v>0</v>
      </c>
      <c r="AQ312" s="83" t="s">
        <v>895</v>
      </c>
      <c r="AR312" s="80" t="s">
        <v>196</v>
      </c>
      <c r="AS312" s="80">
        <v>0</v>
      </c>
      <c r="AT312" s="80">
        <v>0</v>
      </c>
      <c r="AU312" s="80"/>
      <c r="AV312" s="80"/>
      <c r="AW312" s="80"/>
      <c r="AX312" s="80"/>
      <c r="AY312" s="80"/>
      <c r="AZ312" s="80"/>
      <c r="BA312" s="80"/>
      <c r="BB312" s="80"/>
      <c r="BC312">
        <v>2</v>
      </c>
      <c r="BD312" s="79" t="str">
        <f>REPLACE(INDEX(GroupVertices[Group],MATCH(Edges[[#This Row],[Vertex 1]],GroupVertices[Vertex],0)),1,1,"")</f>
        <v>1</v>
      </c>
      <c r="BE312" s="79" t="str">
        <f>REPLACE(INDEX(GroupVertices[Group],MATCH(Edges[[#This Row],[Vertex 2]],GroupVertices[Vertex],0)),1,1,"")</f>
        <v>1</v>
      </c>
      <c r="BF312" s="49">
        <v>0</v>
      </c>
      <c r="BG312" s="50">
        <v>0</v>
      </c>
      <c r="BH312" s="49">
        <v>0</v>
      </c>
      <c r="BI312" s="50">
        <v>0</v>
      </c>
      <c r="BJ312" s="49">
        <v>0</v>
      </c>
      <c r="BK312" s="50">
        <v>0</v>
      </c>
      <c r="BL312" s="49">
        <v>34</v>
      </c>
      <c r="BM312" s="50">
        <v>100</v>
      </c>
      <c r="BN312" s="49">
        <v>34</v>
      </c>
    </row>
    <row r="313" spans="1:66" ht="15">
      <c r="A313" s="65" t="s">
        <v>334</v>
      </c>
      <c r="B313" s="65" t="s">
        <v>377</v>
      </c>
      <c r="C313" s="66" t="s">
        <v>2819</v>
      </c>
      <c r="D313" s="67">
        <v>10</v>
      </c>
      <c r="E313" s="66" t="s">
        <v>136</v>
      </c>
      <c r="F313" s="69">
        <v>6</v>
      </c>
      <c r="G313" s="66"/>
      <c r="H313" s="70"/>
      <c r="I313" s="71"/>
      <c r="J313" s="71"/>
      <c r="K313" s="35" t="s">
        <v>65</v>
      </c>
      <c r="L313" s="72">
        <v>313</v>
      </c>
      <c r="M313" s="72"/>
      <c r="N313" s="73"/>
      <c r="O313" s="80" t="s">
        <v>407</v>
      </c>
      <c r="P313" s="82">
        <v>44479.353738425925</v>
      </c>
      <c r="Q313" s="80" t="s">
        <v>473</v>
      </c>
      <c r="R313" s="85" t="str">
        <f>HYPERLINK("https://econ.trib.al/fJkeRl8")</f>
        <v>https://econ.trib.al/fJkeRl8</v>
      </c>
      <c r="S313" s="80" t="s">
        <v>528</v>
      </c>
      <c r="T313" s="80"/>
      <c r="U313" s="80"/>
      <c r="V313" s="85" t="str">
        <f>HYPERLINK("https://pbs.twimg.com/profile_images/1191749200121348096/BmfItDOa_normal.jpg")</f>
        <v>https://pbs.twimg.com/profile_images/1191749200121348096/BmfItDOa_normal.jpg</v>
      </c>
      <c r="W313" s="82">
        <v>44479.353738425925</v>
      </c>
      <c r="X313" s="87">
        <v>44479</v>
      </c>
      <c r="Y313" s="83" t="s">
        <v>696</v>
      </c>
      <c r="Z313" s="85" t="str">
        <f>HYPERLINK("https://twitter.com/oikos_solutions/status/1447117042851749890")</f>
        <v>https://twitter.com/oikos_solutions/status/1447117042851749890</v>
      </c>
      <c r="AA313" s="80"/>
      <c r="AB313" s="80"/>
      <c r="AC313" s="83" t="s">
        <v>881</v>
      </c>
      <c r="AD313" s="80"/>
      <c r="AE313" s="80" t="b">
        <v>0</v>
      </c>
      <c r="AF313" s="80">
        <v>0</v>
      </c>
      <c r="AG313" s="83" t="s">
        <v>952</v>
      </c>
      <c r="AH313" s="80" t="b">
        <v>0</v>
      </c>
      <c r="AI313" s="80" t="s">
        <v>967</v>
      </c>
      <c r="AJ313" s="80"/>
      <c r="AK313" s="83" t="s">
        <v>952</v>
      </c>
      <c r="AL313" s="80" t="b">
        <v>0</v>
      </c>
      <c r="AM313" s="80">
        <v>1</v>
      </c>
      <c r="AN313" s="83" t="s">
        <v>870</v>
      </c>
      <c r="AO313" s="83" t="s">
        <v>992</v>
      </c>
      <c r="AP313" s="80" t="b">
        <v>0</v>
      </c>
      <c r="AQ313" s="83" t="s">
        <v>870</v>
      </c>
      <c r="AR313" s="80" t="s">
        <v>196</v>
      </c>
      <c r="AS313" s="80">
        <v>0</v>
      </c>
      <c r="AT313" s="80">
        <v>0</v>
      </c>
      <c r="AU313" s="80"/>
      <c r="AV313" s="80"/>
      <c r="AW313" s="80"/>
      <c r="AX313" s="80"/>
      <c r="AY313" s="80"/>
      <c r="AZ313" s="80"/>
      <c r="BA313" s="80"/>
      <c r="BB313" s="80"/>
      <c r="BC313">
        <v>9</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334</v>
      </c>
      <c r="B314" s="65" t="s">
        <v>331</v>
      </c>
      <c r="C314" s="66" t="s">
        <v>2819</v>
      </c>
      <c r="D314" s="67">
        <v>10</v>
      </c>
      <c r="E314" s="66" t="s">
        <v>136</v>
      </c>
      <c r="F314" s="69">
        <v>6</v>
      </c>
      <c r="G314" s="66"/>
      <c r="H314" s="70"/>
      <c r="I314" s="71"/>
      <c r="J314" s="71"/>
      <c r="K314" s="35" t="s">
        <v>65</v>
      </c>
      <c r="L314" s="72">
        <v>314</v>
      </c>
      <c r="M314" s="72"/>
      <c r="N314" s="73"/>
      <c r="O314" s="80" t="s">
        <v>407</v>
      </c>
      <c r="P314" s="82">
        <v>44479.353738425925</v>
      </c>
      <c r="Q314" s="80" t="s">
        <v>473</v>
      </c>
      <c r="R314" s="85" t="str">
        <f>HYPERLINK("https://econ.trib.al/fJkeRl8")</f>
        <v>https://econ.trib.al/fJkeRl8</v>
      </c>
      <c r="S314" s="80" t="s">
        <v>528</v>
      </c>
      <c r="T314" s="80"/>
      <c r="U314" s="80"/>
      <c r="V314" s="85" t="str">
        <f>HYPERLINK("https://pbs.twimg.com/profile_images/1191749200121348096/BmfItDOa_normal.jpg")</f>
        <v>https://pbs.twimg.com/profile_images/1191749200121348096/BmfItDOa_normal.jpg</v>
      </c>
      <c r="W314" s="82">
        <v>44479.353738425925</v>
      </c>
      <c r="X314" s="87">
        <v>44479</v>
      </c>
      <c r="Y314" s="83" t="s">
        <v>696</v>
      </c>
      <c r="Z314" s="85" t="str">
        <f>HYPERLINK("https://twitter.com/oikos_solutions/status/1447117042851749890")</f>
        <v>https://twitter.com/oikos_solutions/status/1447117042851749890</v>
      </c>
      <c r="AA314" s="80"/>
      <c r="AB314" s="80"/>
      <c r="AC314" s="83" t="s">
        <v>881</v>
      </c>
      <c r="AD314" s="80"/>
      <c r="AE314" s="80" t="b">
        <v>0</v>
      </c>
      <c r="AF314" s="80">
        <v>0</v>
      </c>
      <c r="AG314" s="83" t="s">
        <v>952</v>
      </c>
      <c r="AH314" s="80" t="b">
        <v>0</v>
      </c>
      <c r="AI314" s="80" t="s">
        <v>967</v>
      </c>
      <c r="AJ314" s="80"/>
      <c r="AK314" s="83" t="s">
        <v>952</v>
      </c>
      <c r="AL314" s="80" t="b">
        <v>0</v>
      </c>
      <c r="AM314" s="80">
        <v>1</v>
      </c>
      <c r="AN314" s="83" t="s">
        <v>870</v>
      </c>
      <c r="AO314" s="83" t="s">
        <v>992</v>
      </c>
      <c r="AP314" s="80" t="b">
        <v>0</v>
      </c>
      <c r="AQ314" s="83" t="s">
        <v>870</v>
      </c>
      <c r="AR314" s="80" t="s">
        <v>196</v>
      </c>
      <c r="AS314" s="80">
        <v>0</v>
      </c>
      <c r="AT314" s="80">
        <v>0</v>
      </c>
      <c r="AU314" s="80"/>
      <c r="AV314" s="80"/>
      <c r="AW314" s="80"/>
      <c r="AX314" s="80"/>
      <c r="AY314" s="80"/>
      <c r="AZ314" s="80"/>
      <c r="BA314" s="80"/>
      <c r="BB314" s="80"/>
      <c r="BC314">
        <v>9</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334</v>
      </c>
      <c r="B315" s="65" t="s">
        <v>378</v>
      </c>
      <c r="C315" s="66" t="s">
        <v>2819</v>
      </c>
      <c r="D315" s="67">
        <v>10</v>
      </c>
      <c r="E315" s="66" t="s">
        <v>136</v>
      </c>
      <c r="F315" s="69">
        <v>6</v>
      </c>
      <c r="G315" s="66"/>
      <c r="H315" s="70"/>
      <c r="I315" s="71"/>
      <c r="J315" s="71"/>
      <c r="K315" s="35" t="s">
        <v>65</v>
      </c>
      <c r="L315" s="72">
        <v>315</v>
      </c>
      <c r="M315" s="72"/>
      <c r="N315" s="73"/>
      <c r="O315" s="80" t="s">
        <v>407</v>
      </c>
      <c r="P315" s="82">
        <v>44479.353738425925</v>
      </c>
      <c r="Q315" s="80" t="s">
        <v>473</v>
      </c>
      <c r="R315" s="85" t="str">
        <f>HYPERLINK("https://econ.trib.al/fJkeRl8")</f>
        <v>https://econ.trib.al/fJkeRl8</v>
      </c>
      <c r="S315" s="80" t="s">
        <v>528</v>
      </c>
      <c r="T315" s="80"/>
      <c r="U315" s="80"/>
      <c r="V315" s="85" t="str">
        <f>HYPERLINK("https://pbs.twimg.com/profile_images/1191749200121348096/BmfItDOa_normal.jpg")</f>
        <v>https://pbs.twimg.com/profile_images/1191749200121348096/BmfItDOa_normal.jpg</v>
      </c>
      <c r="W315" s="82">
        <v>44479.353738425925</v>
      </c>
      <c r="X315" s="87">
        <v>44479</v>
      </c>
      <c r="Y315" s="83" t="s">
        <v>696</v>
      </c>
      <c r="Z315" s="85" t="str">
        <f>HYPERLINK("https://twitter.com/oikos_solutions/status/1447117042851749890")</f>
        <v>https://twitter.com/oikos_solutions/status/1447117042851749890</v>
      </c>
      <c r="AA315" s="80"/>
      <c r="AB315" s="80"/>
      <c r="AC315" s="83" t="s">
        <v>881</v>
      </c>
      <c r="AD315" s="80"/>
      <c r="AE315" s="80" t="b">
        <v>0</v>
      </c>
      <c r="AF315" s="80">
        <v>0</v>
      </c>
      <c r="AG315" s="83" t="s">
        <v>952</v>
      </c>
      <c r="AH315" s="80" t="b">
        <v>0</v>
      </c>
      <c r="AI315" s="80" t="s">
        <v>967</v>
      </c>
      <c r="AJ315" s="80"/>
      <c r="AK315" s="83" t="s">
        <v>952</v>
      </c>
      <c r="AL315" s="80" t="b">
        <v>0</v>
      </c>
      <c r="AM315" s="80">
        <v>1</v>
      </c>
      <c r="AN315" s="83" t="s">
        <v>870</v>
      </c>
      <c r="AO315" s="83" t="s">
        <v>992</v>
      </c>
      <c r="AP315" s="80" t="b">
        <v>0</v>
      </c>
      <c r="AQ315" s="83" t="s">
        <v>870</v>
      </c>
      <c r="AR315" s="80" t="s">
        <v>196</v>
      </c>
      <c r="AS315" s="80">
        <v>0</v>
      </c>
      <c r="AT315" s="80">
        <v>0</v>
      </c>
      <c r="AU315" s="80"/>
      <c r="AV315" s="80"/>
      <c r="AW315" s="80"/>
      <c r="AX315" s="80"/>
      <c r="AY315" s="80"/>
      <c r="AZ315" s="80"/>
      <c r="BA315" s="80"/>
      <c r="BB315" s="80"/>
      <c r="BC315">
        <v>9</v>
      </c>
      <c r="BD315" s="79" t="str">
        <f>REPLACE(INDEX(GroupVertices[Group],MATCH(Edges[[#This Row],[Vertex 1]],GroupVertices[Vertex],0)),1,1,"")</f>
        <v>1</v>
      </c>
      <c r="BE315" s="79" t="str">
        <f>REPLACE(INDEX(GroupVertices[Group],MATCH(Edges[[#This Row],[Vertex 2]],GroupVertices[Vertex],0)),1,1,"")</f>
        <v>1</v>
      </c>
      <c r="BF315" s="49">
        <v>0</v>
      </c>
      <c r="BG315" s="50">
        <v>0</v>
      </c>
      <c r="BH315" s="49">
        <v>0</v>
      </c>
      <c r="BI315" s="50">
        <v>0</v>
      </c>
      <c r="BJ315" s="49">
        <v>0</v>
      </c>
      <c r="BK315" s="50">
        <v>0</v>
      </c>
      <c r="BL315" s="49">
        <v>34</v>
      </c>
      <c r="BM315" s="50">
        <v>100</v>
      </c>
      <c r="BN315" s="49">
        <v>34</v>
      </c>
    </row>
    <row r="316" spans="1:66" ht="15">
      <c r="A316" s="65" t="s">
        <v>334</v>
      </c>
      <c r="B316" s="65" t="s">
        <v>377</v>
      </c>
      <c r="C316" s="66" t="s">
        <v>2819</v>
      </c>
      <c r="D316" s="67">
        <v>10</v>
      </c>
      <c r="E316" s="66" t="s">
        <v>136</v>
      </c>
      <c r="F316" s="69">
        <v>6</v>
      </c>
      <c r="G316" s="66"/>
      <c r="H316" s="70"/>
      <c r="I316" s="71"/>
      <c r="J316" s="71"/>
      <c r="K316" s="35" t="s">
        <v>65</v>
      </c>
      <c r="L316" s="72">
        <v>316</v>
      </c>
      <c r="M316" s="72"/>
      <c r="N316" s="73"/>
      <c r="O316" s="80" t="s">
        <v>407</v>
      </c>
      <c r="P316" s="82">
        <v>44479.35407407407</v>
      </c>
      <c r="Q316" s="80" t="s">
        <v>479</v>
      </c>
      <c r="R316" s="85" t="str">
        <f>HYPERLINK("https://econ.trib.al/fJkeRl8")</f>
        <v>https://econ.trib.al/fJkeRl8</v>
      </c>
      <c r="S316" s="80" t="s">
        <v>528</v>
      </c>
      <c r="T316" s="80"/>
      <c r="U316" s="80"/>
      <c r="V316" s="85" t="str">
        <f>HYPERLINK("https://pbs.twimg.com/profile_images/1191749200121348096/BmfItDOa_normal.jpg")</f>
        <v>https://pbs.twimg.com/profile_images/1191749200121348096/BmfItDOa_normal.jpg</v>
      </c>
      <c r="W316" s="82">
        <v>44479.35407407407</v>
      </c>
      <c r="X316" s="87">
        <v>44479</v>
      </c>
      <c r="Y316" s="83" t="s">
        <v>697</v>
      </c>
      <c r="Z316" s="85" t="str">
        <f>HYPERLINK("https://twitter.com/oikos_solutions/status/1447117163072999424")</f>
        <v>https://twitter.com/oikos_solutions/status/1447117163072999424</v>
      </c>
      <c r="AA316" s="80"/>
      <c r="AB316" s="80"/>
      <c r="AC316" s="83" t="s">
        <v>882</v>
      </c>
      <c r="AD316" s="80"/>
      <c r="AE316" s="80" t="b">
        <v>0</v>
      </c>
      <c r="AF316" s="80">
        <v>0</v>
      </c>
      <c r="AG316" s="83" t="s">
        <v>952</v>
      </c>
      <c r="AH316" s="80" t="b">
        <v>0</v>
      </c>
      <c r="AI316" s="80" t="s">
        <v>967</v>
      </c>
      <c r="AJ316" s="80"/>
      <c r="AK316" s="83" t="s">
        <v>952</v>
      </c>
      <c r="AL316" s="80" t="b">
        <v>0</v>
      </c>
      <c r="AM316" s="80">
        <v>1</v>
      </c>
      <c r="AN316" s="83" t="s">
        <v>876</v>
      </c>
      <c r="AO316" s="83" t="s">
        <v>992</v>
      </c>
      <c r="AP316" s="80" t="b">
        <v>0</v>
      </c>
      <c r="AQ316" s="83" t="s">
        <v>876</v>
      </c>
      <c r="AR316" s="80" t="s">
        <v>196</v>
      </c>
      <c r="AS316" s="80">
        <v>0</v>
      </c>
      <c r="AT316" s="80">
        <v>0</v>
      </c>
      <c r="AU316" s="80"/>
      <c r="AV316" s="80"/>
      <c r="AW316" s="80"/>
      <c r="AX316" s="80"/>
      <c r="AY316" s="80"/>
      <c r="AZ316" s="80"/>
      <c r="BA316" s="80"/>
      <c r="BB316" s="80"/>
      <c r="BC316">
        <v>9</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334</v>
      </c>
      <c r="B317" s="65" t="s">
        <v>331</v>
      </c>
      <c r="C317" s="66" t="s">
        <v>2819</v>
      </c>
      <c r="D317" s="67">
        <v>10</v>
      </c>
      <c r="E317" s="66" t="s">
        <v>136</v>
      </c>
      <c r="F317" s="69">
        <v>6</v>
      </c>
      <c r="G317" s="66"/>
      <c r="H317" s="70"/>
      <c r="I317" s="71"/>
      <c r="J317" s="71"/>
      <c r="K317" s="35" t="s">
        <v>65</v>
      </c>
      <c r="L317" s="72">
        <v>317</v>
      </c>
      <c r="M317" s="72"/>
      <c r="N317" s="73"/>
      <c r="O317" s="80" t="s">
        <v>407</v>
      </c>
      <c r="P317" s="82">
        <v>44479.35407407407</v>
      </c>
      <c r="Q317" s="80" t="s">
        <v>479</v>
      </c>
      <c r="R317" s="85" t="str">
        <f>HYPERLINK("https://econ.trib.al/fJkeRl8")</f>
        <v>https://econ.trib.al/fJkeRl8</v>
      </c>
      <c r="S317" s="80" t="s">
        <v>528</v>
      </c>
      <c r="T317" s="80"/>
      <c r="U317" s="80"/>
      <c r="V317" s="85" t="str">
        <f>HYPERLINK("https://pbs.twimg.com/profile_images/1191749200121348096/BmfItDOa_normal.jpg")</f>
        <v>https://pbs.twimg.com/profile_images/1191749200121348096/BmfItDOa_normal.jpg</v>
      </c>
      <c r="W317" s="82">
        <v>44479.35407407407</v>
      </c>
      <c r="X317" s="87">
        <v>44479</v>
      </c>
      <c r="Y317" s="83" t="s">
        <v>697</v>
      </c>
      <c r="Z317" s="85" t="str">
        <f>HYPERLINK("https://twitter.com/oikos_solutions/status/1447117163072999424")</f>
        <v>https://twitter.com/oikos_solutions/status/1447117163072999424</v>
      </c>
      <c r="AA317" s="80"/>
      <c r="AB317" s="80"/>
      <c r="AC317" s="83" t="s">
        <v>882</v>
      </c>
      <c r="AD317" s="80"/>
      <c r="AE317" s="80" t="b">
        <v>0</v>
      </c>
      <c r="AF317" s="80">
        <v>0</v>
      </c>
      <c r="AG317" s="83" t="s">
        <v>952</v>
      </c>
      <c r="AH317" s="80" t="b">
        <v>0</v>
      </c>
      <c r="AI317" s="80" t="s">
        <v>967</v>
      </c>
      <c r="AJ317" s="80"/>
      <c r="AK317" s="83" t="s">
        <v>952</v>
      </c>
      <c r="AL317" s="80" t="b">
        <v>0</v>
      </c>
      <c r="AM317" s="80">
        <v>1</v>
      </c>
      <c r="AN317" s="83" t="s">
        <v>876</v>
      </c>
      <c r="AO317" s="83" t="s">
        <v>992</v>
      </c>
      <c r="AP317" s="80" t="b">
        <v>0</v>
      </c>
      <c r="AQ317" s="83" t="s">
        <v>876</v>
      </c>
      <c r="AR317" s="80" t="s">
        <v>196</v>
      </c>
      <c r="AS317" s="80">
        <v>0</v>
      </c>
      <c r="AT317" s="80">
        <v>0</v>
      </c>
      <c r="AU317" s="80"/>
      <c r="AV317" s="80"/>
      <c r="AW317" s="80"/>
      <c r="AX317" s="80"/>
      <c r="AY317" s="80"/>
      <c r="AZ317" s="80"/>
      <c r="BA317" s="80"/>
      <c r="BB317" s="80"/>
      <c r="BC317">
        <v>9</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334</v>
      </c>
      <c r="B318" s="65" t="s">
        <v>378</v>
      </c>
      <c r="C318" s="66" t="s">
        <v>2819</v>
      </c>
      <c r="D318" s="67">
        <v>10</v>
      </c>
      <c r="E318" s="66" t="s">
        <v>136</v>
      </c>
      <c r="F318" s="69">
        <v>6</v>
      </c>
      <c r="G318" s="66"/>
      <c r="H318" s="70"/>
      <c r="I318" s="71"/>
      <c r="J318" s="71"/>
      <c r="K318" s="35" t="s">
        <v>65</v>
      </c>
      <c r="L318" s="72">
        <v>318</v>
      </c>
      <c r="M318" s="72"/>
      <c r="N318" s="73"/>
      <c r="O318" s="80" t="s">
        <v>407</v>
      </c>
      <c r="P318" s="82">
        <v>44479.35407407407</v>
      </c>
      <c r="Q318" s="80" t="s">
        <v>479</v>
      </c>
      <c r="R318" s="85" t="str">
        <f>HYPERLINK("https://econ.trib.al/fJkeRl8")</f>
        <v>https://econ.trib.al/fJkeRl8</v>
      </c>
      <c r="S318" s="80" t="s">
        <v>528</v>
      </c>
      <c r="T318" s="80"/>
      <c r="U318" s="80"/>
      <c r="V318" s="85" t="str">
        <f>HYPERLINK("https://pbs.twimg.com/profile_images/1191749200121348096/BmfItDOa_normal.jpg")</f>
        <v>https://pbs.twimg.com/profile_images/1191749200121348096/BmfItDOa_normal.jpg</v>
      </c>
      <c r="W318" s="82">
        <v>44479.35407407407</v>
      </c>
      <c r="X318" s="87">
        <v>44479</v>
      </c>
      <c r="Y318" s="83" t="s">
        <v>697</v>
      </c>
      <c r="Z318" s="85" t="str">
        <f>HYPERLINK("https://twitter.com/oikos_solutions/status/1447117163072999424")</f>
        <v>https://twitter.com/oikos_solutions/status/1447117163072999424</v>
      </c>
      <c r="AA318" s="80"/>
      <c r="AB318" s="80"/>
      <c r="AC318" s="83" t="s">
        <v>882</v>
      </c>
      <c r="AD318" s="80"/>
      <c r="AE318" s="80" t="b">
        <v>0</v>
      </c>
      <c r="AF318" s="80">
        <v>0</v>
      </c>
      <c r="AG318" s="83" t="s">
        <v>952</v>
      </c>
      <c r="AH318" s="80" t="b">
        <v>0</v>
      </c>
      <c r="AI318" s="80" t="s">
        <v>967</v>
      </c>
      <c r="AJ318" s="80"/>
      <c r="AK318" s="83" t="s">
        <v>952</v>
      </c>
      <c r="AL318" s="80" t="b">
        <v>0</v>
      </c>
      <c r="AM318" s="80">
        <v>1</v>
      </c>
      <c r="AN318" s="83" t="s">
        <v>876</v>
      </c>
      <c r="AO318" s="83" t="s">
        <v>992</v>
      </c>
      <c r="AP318" s="80" t="b">
        <v>0</v>
      </c>
      <c r="AQ318" s="83" t="s">
        <v>876</v>
      </c>
      <c r="AR318" s="80" t="s">
        <v>196</v>
      </c>
      <c r="AS318" s="80">
        <v>0</v>
      </c>
      <c r="AT318" s="80">
        <v>0</v>
      </c>
      <c r="AU318" s="80"/>
      <c r="AV318" s="80"/>
      <c r="AW318" s="80"/>
      <c r="AX318" s="80"/>
      <c r="AY318" s="80"/>
      <c r="AZ318" s="80"/>
      <c r="BA318" s="80"/>
      <c r="BB318" s="80"/>
      <c r="BC318">
        <v>9</v>
      </c>
      <c r="BD318" s="79" t="str">
        <f>REPLACE(INDEX(GroupVertices[Group],MATCH(Edges[[#This Row],[Vertex 1]],GroupVertices[Vertex],0)),1,1,"")</f>
        <v>1</v>
      </c>
      <c r="BE318" s="79" t="str">
        <f>REPLACE(INDEX(GroupVertices[Group],MATCH(Edges[[#This Row],[Vertex 2]],GroupVertices[Vertex],0)),1,1,"")</f>
        <v>1</v>
      </c>
      <c r="BF318" s="49">
        <v>0</v>
      </c>
      <c r="BG318" s="50">
        <v>0</v>
      </c>
      <c r="BH318" s="49">
        <v>0</v>
      </c>
      <c r="BI318" s="50">
        <v>0</v>
      </c>
      <c r="BJ318" s="49">
        <v>0</v>
      </c>
      <c r="BK318" s="50">
        <v>0</v>
      </c>
      <c r="BL318" s="49">
        <v>36</v>
      </c>
      <c r="BM318" s="50">
        <v>100</v>
      </c>
      <c r="BN318" s="49">
        <v>36</v>
      </c>
    </row>
    <row r="319" spans="1:66" ht="15">
      <c r="A319" s="65" t="s">
        <v>334</v>
      </c>
      <c r="B319" s="65" t="s">
        <v>377</v>
      </c>
      <c r="C319" s="66" t="s">
        <v>2819</v>
      </c>
      <c r="D319" s="67">
        <v>10</v>
      </c>
      <c r="E319" s="66" t="s">
        <v>136</v>
      </c>
      <c r="F319" s="69">
        <v>6</v>
      </c>
      <c r="G319" s="66"/>
      <c r="H319" s="70"/>
      <c r="I319" s="71"/>
      <c r="J319" s="71"/>
      <c r="K319" s="35" t="s">
        <v>65</v>
      </c>
      <c r="L319" s="72">
        <v>319</v>
      </c>
      <c r="M319" s="72"/>
      <c r="N319" s="73"/>
      <c r="O319" s="80" t="s">
        <v>407</v>
      </c>
      <c r="P319" s="82">
        <v>44480.186689814815</v>
      </c>
      <c r="Q319" s="80" t="s">
        <v>468</v>
      </c>
      <c r="R319" s="85" t="str">
        <f>HYPERLINK("https://econ.trib.al/w1YeE88")</f>
        <v>https://econ.trib.al/w1YeE88</v>
      </c>
      <c r="S319" s="80" t="s">
        <v>528</v>
      </c>
      <c r="T319" s="80"/>
      <c r="U319" s="80"/>
      <c r="V319" s="85" t="str">
        <f>HYPERLINK("https://pbs.twimg.com/profile_images/1191749200121348096/BmfItDOa_normal.jpg")</f>
        <v>https://pbs.twimg.com/profile_images/1191749200121348096/BmfItDOa_normal.jpg</v>
      </c>
      <c r="W319" s="82">
        <v>44480.186689814815</v>
      </c>
      <c r="X319" s="87">
        <v>44480</v>
      </c>
      <c r="Y319" s="83" t="s">
        <v>700</v>
      </c>
      <c r="Z319" s="85" t="str">
        <f>HYPERLINK("https://twitter.com/oikos_solutions/status/1447418893706870785")</f>
        <v>https://twitter.com/oikos_solutions/status/1447418893706870785</v>
      </c>
      <c r="AA319" s="80"/>
      <c r="AB319" s="80"/>
      <c r="AC319" s="83" t="s">
        <v>886</v>
      </c>
      <c r="AD319" s="80"/>
      <c r="AE319" s="80" t="b">
        <v>0</v>
      </c>
      <c r="AF319" s="80">
        <v>0</v>
      </c>
      <c r="AG319" s="83" t="s">
        <v>952</v>
      </c>
      <c r="AH319" s="80" t="b">
        <v>0</v>
      </c>
      <c r="AI319" s="80" t="s">
        <v>967</v>
      </c>
      <c r="AJ319" s="80"/>
      <c r="AK319" s="83" t="s">
        <v>952</v>
      </c>
      <c r="AL319" s="80" t="b">
        <v>0</v>
      </c>
      <c r="AM319" s="80">
        <v>10</v>
      </c>
      <c r="AN319" s="83" t="s">
        <v>896</v>
      </c>
      <c r="AO319" s="83" t="s">
        <v>992</v>
      </c>
      <c r="AP319" s="80" t="b">
        <v>0</v>
      </c>
      <c r="AQ319" s="83" t="s">
        <v>896</v>
      </c>
      <c r="AR319" s="80" t="s">
        <v>196</v>
      </c>
      <c r="AS319" s="80">
        <v>0</v>
      </c>
      <c r="AT319" s="80">
        <v>0</v>
      </c>
      <c r="AU319" s="80"/>
      <c r="AV319" s="80"/>
      <c r="AW319" s="80"/>
      <c r="AX319" s="80"/>
      <c r="AY319" s="80"/>
      <c r="AZ319" s="80"/>
      <c r="BA319" s="80"/>
      <c r="BB319" s="80"/>
      <c r="BC319">
        <v>9</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334</v>
      </c>
      <c r="B320" s="65" t="s">
        <v>331</v>
      </c>
      <c r="C320" s="66" t="s">
        <v>2819</v>
      </c>
      <c r="D320" s="67">
        <v>10</v>
      </c>
      <c r="E320" s="66" t="s">
        <v>136</v>
      </c>
      <c r="F320" s="69">
        <v>6</v>
      </c>
      <c r="G320" s="66"/>
      <c r="H320" s="70"/>
      <c r="I320" s="71"/>
      <c r="J320" s="71"/>
      <c r="K320" s="35" t="s">
        <v>65</v>
      </c>
      <c r="L320" s="72">
        <v>320</v>
      </c>
      <c r="M320" s="72"/>
      <c r="N320" s="73"/>
      <c r="O320" s="80" t="s">
        <v>407</v>
      </c>
      <c r="P320" s="82">
        <v>44480.186689814815</v>
      </c>
      <c r="Q320" s="80" t="s">
        <v>468</v>
      </c>
      <c r="R320" s="85" t="str">
        <f>HYPERLINK("https://econ.trib.al/w1YeE88")</f>
        <v>https://econ.trib.al/w1YeE88</v>
      </c>
      <c r="S320" s="80" t="s">
        <v>528</v>
      </c>
      <c r="T320" s="80"/>
      <c r="U320" s="80"/>
      <c r="V320" s="85" t="str">
        <f>HYPERLINK("https://pbs.twimg.com/profile_images/1191749200121348096/BmfItDOa_normal.jpg")</f>
        <v>https://pbs.twimg.com/profile_images/1191749200121348096/BmfItDOa_normal.jpg</v>
      </c>
      <c r="W320" s="82">
        <v>44480.186689814815</v>
      </c>
      <c r="X320" s="87">
        <v>44480</v>
      </c>
      <c r="Y320" s="83" t="s">
        <v>700</v>
      </c>
      <c r="Z320" s="85" t="str">
        <f>HYPERLINK("https://twitter.com/oikos_solutions/status/1447418893706870785")</f>
        <v>https://twitter.com/oikos_solutions/status/1447418893706870785</v>
      </c>
      <c r="AA320" s="80"/>
      <c r="AB320" s="80"/>
      <c r="AC320" s="83" t="s">
        <v>886</v>
      </c>
      <c r="AD320" s="80"/>
      <c r="AE320" s="80" t="b">
        <v>0</v>
      </c>
      <c r="AF320" s="80">
        <v>0</v>
      </c>
      <c r="AG320" s="83" t="s">
        <v>952</v>
      </c>
      <c r="AH320" s="80" t="b">
        <v>0</v>
      </c>
      <c r="AI320" s="80" t="s">
        <v>967</v>
      </c>
      <c r="AJ320" s="80"/>
      <c r="AK320" s="83" t="s">
        <v>952</v>
      </c>
      <c r="AL320" s="80" t="b">
        <v>0</v>
      </c>
      <c r="AM320" s="80">
        <v>10</v>
      </c>
      <c r="AN320" s="83" t="s">
        <v>896</v>
      </c>
      <c r="AO320" s="83" t="s">
        <v>992</v>
      </c>
      <c r="AP320" s="80" t="b">
        <v>0</v>
      </c>
      <c r="AQ320" s="83" t="s">
        <v>896</v>
      </c>
      <c r="AR320" s="80" t="s">
        <v>196</v>
      </c>
      <c r="AS320" s="80">
        <v>0</v>
      </c>
      <c r="AT320" s="80">
        <v>0</v>
      </c>
      <c r="AU320" s="80"/>
      <c r="AV320" s="80"/>
      <c r="AW320" s="80"/>
      <c r="AX320" s="80"/>
      <c r="AY320" s="80"/>
      <c r="AZ320" s="80"/>
      <c r="BA320" s="80"/>
      <c r="BB320" s="80"/>
      <c r="BC320">
        <v>9</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334</v>
      </c>
      <c r="B321" s="65" t="s">
        <v>378</v>
      </c>
      <c r="C321" s="66" t="s">
        <v>2819</v>
      </c>
      <c r="D321" s="67">
        <v>10</v>
      </c>
      <c r="E321" s="66" t="s">
        <v>136</v>
      </c>
      <c r="F321" s="69">
        <v>6</v>
      </c>
      <c r="G321" s="66"/>
      <c r="H321" s="70"/>
      <c r="I321" s="71"/>
      <c r="J321" s="71"/>
      <c r="K321" s="35" t="s">
        <v>65</v>
      </c>
      <c r="L321" s="72">
        <v>321</v>
      </c>
      <c r="M321" s="72"/>
      <c r="N321" s="73"/>
      <c r="O321" s="80" t="s">
        <v>407</v>
      </c>
      <c r="P321" s="82">
        <v>44480.186689814815</v>
      </c>
      <c r="Q321" s="80" t="s">
        <v>468</v>
      </c>
      <c r="R321" s="85" t="str">
        <f>HYPERLINK("https://econ.trib.al/w1YeE88")</f>
        <v>https://econ.trib.al/w1YeE88</v>
      </c>
      <c r="S321" s="80" t="s">
        <v>528</v>
      </c>
      <c r="T321" s="80"/>
      <c r="U321" s="80"/>
      <c r="V321" s="85" t="str">
        <f>HYPERLINK("https://pbs.twimg.com/profile_images/1191749200121348096/BmfItDOa_normal.jpg")</f>
        <v>https://pbs.twimg.com/profile_images/1191749200121348096/BmfItDOa_normal.jpg</v>
      </c>
      <c r="W321" s="82">
        <v>44480.186689814815</v>
      </c>
      <c r="X321" s="87">
        <v>44480</v>
      </c>
      <c r="Y321" s="83" t="s">
        <v>700</v>
      </c>
      <c r="Z321" s="85" t="str">
        <f>HYPERLINK("https://twitter.com/oikos_solutions/status/1447418893706870785")</f>
        <v>https://twitter.com/oikos_solutions/status/1447418893706870785</v>
      </c>
      <c r="AA321" s="80"/>
      <c r="AB321" s="80"/>
      <c r="AC321" s="83" t="s">
        <v>886</v>
      </c>
      <c r="AD321" s="80"/>
      <c r="AE321" s="80" t="b">
        <v>0</v>
      </c>
      <c r="AF321" s="80">
        <v>0</v>
      </c>
      <c r="AG321" s="83" t="s">
        <v>952</v>
      </c>
      <c r="AH321" s="80" t="b">
        <v>0</v>
      </c>
      <c r="AI321" s="80" t="s">
        <v>967</v>
      </c>
      <c r="AJ321" s="80"/>
      <c r="AK321" s="83" t="s">
        <v>952</v>
      </c>
      <c r="AL321" s="80" t="b">
        <v>0</v>
      </c>
      <c r="AM321" s="80">
        <v>10</v>
      </c>
      <c r="AN321" s="83" t="s">
        <v>896</v>
      </c>
      <c r="AO321" s="83" t="s">
        <v>992</v>
      </c>
      <c r="AP321" s="80" t="b">
        <v>0</v>
      </c>
      <c r="AQ321" s="83" t="s">
        <v>896</v>
      </c>
      <c r="AR321" s="80" t="s">
        <v>196</v>
      </c>
      <c r="AS321" s="80">
        <v>0</v>
      </c>
      <c r="AT321" s="80">
        <v>0</v>
      </c>
      <c r="AU321" s="80"/>
      <c r="AV321" s="80"/>
      <c r="AW321" s="80"/>
      <c r="AX321" s="80"/>
      <c r="AY321" s="80"/>
      <c r="AZ321" s="80"/>
      <c r="BA321" s="80"/>
      <c r="BB321" s="80"/>
      <c r="BC321">
        <v>9</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334</v>
      </c>
      <c r="B322" s="65" t="s">
        <v>342</v>
      </c>
      <c r="C322" s="66" t="s">
        <v>2816</v>
      </c>
      <c r="D322" s="67">
        <v>6.5</v>
      </c>
      <c r="E322" s="66" t="s">
        <v>136</v>
      </c>
      <c r="F322" s="69">
        <v>28.75</v>
      </c>
      <c r="G322" s="66"/>
      <c r="H322" s="70"/>
      <c r="I322" s="71"/>
      <c r="J322" s="71"/>
      <c r="K322" s="35" t="s">
        <v>65</v>
      </c>
      <c r="L322" s="72">
        <v>322</v>
      </c>
      <c r="M322" s="72"/>
      <c r="N322" s="73"/>
      <c r="O322" s="80" t="s">
        <v>408</v>
      </c>
      <c r="P322" s="82">
        <v>44480.186689814815</v>
      </c>
      <c r="Q322" s="80" t="s">
        <v>468</v>
      </c>
      <c r="R322" s="85" t="str">
        <f>HYPERLINK("https://econ.trib.al/w1YeE88")</f>
        <v>https://econ.trib.al/w1YeE88</v>
      </c>
      <c r="S322" s="80" t="s">
        <v>528</v>
      </c>
      <c r="T322" s="80"/>
      <c r="U322" s="80"/>
      <c r="V322" s="85" t="str">
        <f>HYPERLINK("https://pbs.twimg.com/profile_images/1191749200121348096/BmfItDOa_normal.jpg")</f>
        <v>https://pbs.twimg.com/profile_images/1191749200121348096/BmfItDOa_normal.jpg</v>
      </c>
      <c r="W322" s="82">
        <v>44480.186689814815</v>
      </c>
      <c r="X322" s="87">
        <v>44480</v>
      </c>
      <c r="Y322" s="83" t="s">
        <v>700</v>
      </c>
      <c r="Z322" s="85" t="str">
        <f>HYPERLINK("https://twitter.com/oikos_solutions/status/1447418893706870785")</f>
        <v>https://twitter.com/oikos_solutions/status/1447418893706870785</v>
      </c>
      <c r="AA322" s="80"/>
      <c r="AB322" s="80"/>
      <c r="AC322" s="83" t="s">
        <v>886</v>
      </c>
      <c r="AD322" s="80"/>
      <c r="AE322" s="80" t="b">
        <v>0</v>
      </c>
      <c r="AF322" s="80">
        <v>0</v>
      </c>
      <c r="AG322" s="83" t="s">
        <v>952</v>
      </c>
      <c r="AH322" s="80" t="b">
        <v>0</v>
      </c>
      <c r="AI322" s="80" t="s">
        <v>967</v>
      </c>
      <c r="AJ322" s="80"/>
      <c r="AK322" s="83" t="s">
        <v>952</v>
      </c>
      <c r="AL322" s="80" t="b">
        <v>0</v>
      </c>
      <c r="AM322" s="80">
        <v>10</v>
      </c>
      <c r="AN322" s="83" t="s">
        <v>896</v>
      </c>
      <c r="AO322" s="83" t="s">
        <v>992</v>
      </c>
      <c r="AP322" s="80" t="b">
        <v>0</v>
      </c>
      <c r="AQ322" s="83" t="s">
        <v>896</v>
      </c>
      <c r="AR322" s="80" t="s">
        <v>196</v>
      </c>
      <c r="AS322" s="80">
        <v>0</v>
      </c>
      <c r="AT322" s="80">
        <v>0</v>
      </c>
      <c r="AU322" s="80"/>
      <c r="AV322" s="80"/>
      <c r="AW322" s="80"/>
      <c r="AX322" s="80"/>
      <c r="AY322" s="80"/>
      <c r="AZ322" s="80"/>
      <c r="BA322" s="80"/>
      <c r="BB322" s="80"/>
      <c r="BC322">
        <v>2</v>
      </c>
      <c r="BD322" s="79" t="str">
        <f>REPLACE(INDEX(GroupVertices[Group],MATCH(Edges[[#This Row],[Vertex 1]],GroupVertices[Vertex],0)),1,1,"")</f>
        <v>1</v>
      </c>
      <c r="BE322" s="79" t="str">
        <f>REPLACE(INDEX(GroupVertices[Group],MATCH(Edges[[#This Row],[Vertex 2]],GroupVertices[Vertex],0)),1,1,"")</f>
        <v>1</v>
      </c>
      <c r="BF322" s="49">
        <v>0</v>
      </c>
      <c r="BG322" s="50">
        <v>0</v>
      </c>
      <c r="BH322" s="49">
        <v>0</v>
      </c>
      <c r="BI322" s="50">
        <v>0</v>
      </c>
      <c r="BJ322" s="49">
        <v>0</v>
      </c>
      <c r="BK322" s="50">
        <v>0</v>
      </c>
      <c r="BL322" s="49">
        <v>34</v>
      </c>
      <c r="BM322" s="50">
        <v>100</v>
      </c>
      <c r="BN322" s="49">
        <v>34</v>
      </c>
    </row>
    <row r="323" spans="1:66" ht="15">
      <c r="A323" s="65" t="s">
        <v>334</v>
      </c>
      <c r="B323" s="65" t="s">
        <v>377</v>
      </c>
      <c r="C323" s="66" t="s">
        <v>2819</v>
      </c>
      <c r="D323" s="67">
        <v>10</v>
      </c>
      <c r="E323" s="66" t="s">
        <v>136</v>
      </c>
      <c r="F323" s="69">
        <v>6</v>
      </c>
      <c r="G323" s="66"/>
      <c r="H323" s="70"/>
      <c r="I323" s="71"/>
      <c r="J323" s="71"/>
      <c r="K323" s="35" t="s">
        <v>65</v>
      </c>
      <c r="L323" s="72">
        <v>323</v>
      </c>
      <c r="M323" s="72"/>
      <c r="N323" s="73"/>
      <c r="O323" s="80" t="s">
        <v>407</v>
      </c>
      <c r="P323" s="82">
        <v>44480.35335648148</v>
      </c>
      <c r="Q323" s="80" t="s">
        <v>480</v>
      </c>
      <c r="R323" s="85" t="str">
        <f>HYPERLINK("https://econ.trib.al/6yo11AH")</f>
        <v>https://econ.trib.al/6yo11AH</v>
      </c>
      <c r="S323" s="80" t="s">
        <v>528</v>
      </c>
      <c r="T323" s="80"/>
      <c r="U323" s="80"/>
      <c r="V323" s="85" t="str">
        <f>HYPERLINK("https://pbs.twimg.com/profile_images/1191749200121348096/BmfItDOa_normal.jpg")</f>
        <v>https://pbs.twimg.com/profile_images/1191749200121348096/BmfItDOa_normal.jpg</v>
      </c>
      <c r="W323" s="82">
        <v>44480.35335648148</v>
      </c>
      <c r="X323" s="87">
        <v>44480</v>
      </c>
      <c r="Y323" s="83" t="s">
        <v>693</v>
      </c>
      <c r="Z323" s="85" t="str">
        <f>HYPERLINK("https://twitter.com/oikos_solutions/status/1447479289088253952")</f>
        <v>https://twitter.com/oikos_solutions/status/1447479289088253952</v>
      </c>
      <c r="AA323" s="80"/>
      <c r="AB323" s="80"/>
      <c r="AC323" s="83" t="s">
        <v>883</v>
      </c>
      <c r="AD323" s="80"/>
      <c r="AE323" s="80" t="b">
        <v>0</v>
      </c>
      <c r="AF323" s="80">
        <v>0</v>
      </c>
      <c r="AG323" s="83" t="s">
        <v>952</v>
      </c>
      <c r="AH323" s="80" t="b">
        <v>0</v>
      </c>
      <c r="AI323" s="80" t="s">
        <v>967</v>
      </c>
      <c r="AJ323" s="80"/>
      <c r="AK323" s="83" t="s">
        <v>952</v>
      </c>
      <c r="AL323" s="80" t="b">
        <v>0</v>
      </c>
      <c r="AM323" s="80">
        <v>1</v>
      </c>
      <c r="AN323" s="83" t="s">
        <v>877</v>
      </c>
      <c r="AO323" s="83" t="s">
        <v>992</v>
      </c>
      <c r="AP323" s="80" t="b">
        <v>0</v>
      </c>
      <c r="AQ323" s="83" t="s">
        <v>877</v>
      </c>
      <c r="AR323" s="80" t="s">
        <v>196</v>
      </c>
      <c r="AS323" s="80">
        <v>0</v>
      </c>
      <c r="AT323" s="80">
        <v>0</v>
      </c>
      <c r="AU323" s="80"/>
      <c r="AV323" s="80"/>
      <c r="AW323" s="80"/>
      <c r="AX323" s="80"/>
      <c r="AY323" s="80"/>
      <c r="AZ323" s="80"/>
      <c r="BA323" s="80"/>
      <c r="BB323" s="80"/>
      <c r="BC323">
        <v>9</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334</v>
      </c>
      <c r="B324" s="65" t="s">
        <v>331</v>
      </c>
      <c r="C324" s="66" t="s">
        <v>2819</v>
      </c>
      <c r="D324" s="67">
        <v>10</v>
      </c>
      <c r="E324" s="66" t="s">
        <v>136</v>
      </c>
      <c r="F324" s="69">
        <v>6</v>
      </c>
      <c r="G324" s="66"/>
      <c r="H324" s="70"/>
      <c r="I324" s="71"/>
      <c r="J324" s="71"/>
      <c r="K324" s="35" t="s">
        <v>65</v>
      </c>
      <c r="L324" s="72">
        <v>324</v>
      </c>
      <c r="M324" s="72"/>
      <c r="N324" s="73"/>
      <c r="O324" s="80" t="s">
        <v>407</v>
      </c>
      <c r="P324" s="82">
        <v>44480.35335648148</v>
      </c>
      <c r="Q324" s="80" t="s">
        <v>480</v>
      </c>
      <c r="R324" s="85" t="str">
        <f>HYPERLINK("https://econ.trib.al/6yo11AH")</f>
        <v>https://econ.trib.al/6yo11AH</v>
      </c>
      <c r="S324" s="80" t="s">
        <v>528</v>
      </c>
      <c r="T324" s="80"/>
      <c r="U324" s="80"/>
      <c r="V324" s="85" t="str">
        <f>HYPERLINK("https://pbs.twimg.com/profile_images/1191749200121348096/BmfItDOa_normal.jpg")</f>
        <v>https://pbs.twimg.com/profile_images/1191749200121348096/BmfItDOa_normal.jpg</v>
      </c>
      <c r="W324" s="82">
        <v>44480.35335648148</v>
      </c>
      <c r="X324" s="87">
        <v>44480</v>
      </c>
      <c r="Y324" s="83" t="s">
        <v>693</v>
      </c>
      <c r="Z324" s="85" t="str">
        <f>HYPERLINK("https://twitter.com/oikos_solutions/status/1447479289088253952")</f>
        <v>https://twitter.com/oikos_solutions/status/1447479289088253952</v>
      </c>
      <c r="AA324" s="80"/>
      <c r="AB324" s="80"/>
      <c r="AC324" s="83" t="s">
        <v>883</v>
      </c>
      <c r="AD324" s="80"/>
      <c r="AE324" s="80" t="b">
        <v>0</v>
      </c>
      <c r="AF324" s="80">
        <v>0</v>
      </c>
      <c r="AG324" s="83" t="s">
        <v>952</v>
      </c>
      <c r="AH324" s="80" t="b">
        <v>0</v>
      </c>
      <c r="AI324" s="80" t="s">
        <v>967</v>
      </c>
      <c r="AJ324" s="80"/>
      <c r="AK324" s="83" t="s">
        <v>952</v>
      </c>
      <c r="AL324" s="80" t="b">
        <v>0</v>
      </c>
      <c r="AM324" s="80">
        <v>1</v>
      </c>
      <c r="AN324" s="83" t="s">
        <v>877</v>
      </c>
      <c r="AO324" s="83" t="s">
        <v>992</v>
      </c>
      <c r="AP324" s="80" t="b">
        <v>0</v>
      </c>
      <c r="AQ324" s="83" t="s">
        <v>877</v>
      </c>
      <c r="AR324" s="80" t="s">
        <v>196</v>
      </c>
      <c r="AS324" s="80">
        <v>0</v>
      </c>
      <c r="AT324" s="80">
        <v>0</v>
      </c>
      <c r="AU324" s="80"/>
      <c r="AV324" s="80"/>
      <c r="AW324" s="80"/>
      <c r="AX324" s="80"/>
      <c r="AY324" s="80"/>
      <c r="AZ324" s="80"/>
      <c r="BA324" s="80"/>
      <c r="BB324" s="80"/>
      <c r="BC324">
        <v>9</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334</v>
      </c>
      <c r="B325" s="65" t="s">
        <v>378</v>
      </c>
      <c r="C325" s="66" t="s">
        <v>2819</v>
      </c>
      <c r="D325" s="67">
        <v>10</v>
      </c>
      <c r="E325" s="66" t="s">
        <v>136</v>
      </c>
      <c r="F325" s="69">
        <v>6</v>
      </c>
      <c r="G325" s="66"/>
      <c r="H325" s="70"/>
      <c r="I325" s="71"/>
      <c r="J325" s="71"/>
      <c r="K325" s="35" t="s">
        <v>65</v>
      </c>
      <c r="L325" s="72">
        <v>325</v>
      </c>
      <c r="M325" s="72"/>
      <c r="N325" s="73"/>
      <c r="O325" s="80" t="s">
        <v>407</v>
      </c>
      <c r="P325" s="82">
        <v>44480.35335648148</v>
      </c>
      <c r="Q325" s="80" t="s">
        <v>480</v>
      </c>
      <c r="R325" s="85" t="str">
        <f>HYPERLINK("https://econ.trib.al/6yo11AH")</f>
        <v>https://econ.trib.al/6yo11AH</v>
      </c>
      <c r="S325" s="80" t="s">
        <v>528</v>
      </c>
      <c r="T325" s="80"/>
      <c r="U325" s="80"/>
      <c r="V325" s="85" t="str">
        <f>HYPERLINK("https://pbs.twimg.com/profile_images/1191749200121348096/BmfItDOa_normal.jpg")</f>
        <v>https://pbs.twimg.com/profile_images/1191749200121348096/BmfItDOa_normal.jpg</v>
      </c>
      <c r="W325" s="82">
        <v>44480.35335648148</v>
      </c>
      <c r="X325" s="87">
        <v>44480</v>
      </c>
      <c r="Y325" s="83" t="s">
        <v>693</v>
      </c>
      <c r="Z325" s="85" t="str">
        <f>HYPERLINK("https://twitter.com/oikos_solutions/status/1447479289088253952")</f>
        <v>https://twitter.com/oikos_solutions/status/1447479289088253952</v>
      </c>
      <c r="AA325" s="80"/>
      <c r="AB325" s="80"/>
      <c r="AC325" s="83" t="s">
        <v>883</v>
      </c>
      <c r="AD325" s="80"/>
      <c r="AE325" s="80" t="b">
        <v>0</v>
      </c>
      <c r="AF325" s="80">
        <v>0</v>
      </c>
      <c r="AG325" s="83" t="s">
        <v>952</v>
      </c>
      <c r="AH325" s="80" t="b">
        <v>0</v>
      </c>
      <c r="AI325" s="80" t="s">
        <v>967</v>
      </c>
      <c r="AJ325" s="80"/>
      <c r="AK325" s="83" t="s">
        <v>952</v>
      </c>
      <c r="AL325" s="80" t="b">
        <v>0</v>
      </c>
      <c r="AM325" s="80">
        <v>1</v>
      </c>
      <c r="AN325" s="83" t="s">
        <v>877</v>
      </c>
      <c r="AO325" s="83" t="s">
        <v>992</v>
      </c>
      <c r="AP325" s="80" t="b">
        <v>0</v>
      </c>
      <c r="AQ325" s="83" t="s">
        <v>877</v>
      </c>
      <c r="AR325" s="80" t="s">
        <v>196</v>
      </c>
      <c r="AS325" s="80">
        <v>0</v>
      </c>
      <c r="AT325" s="80">
        <v>0</v>
      </c>
      <c r="AU325" s="80"/>
      <c r="AV325" s="80"/>
      <c r="AW325" s="80"/>
      <c r="AX325" s="80"/>
      <c r="AY325" s="80"/>
      <c r="AZ325" s="80"/>
      <c r="BA325" s="80"/>
      <c r="BB325" s="80"/>
      <c r="BC325">
        <v>9</v>
      </c>
      <c r="BD325" s="79" t="str">
        <f>REPLACE(INDEX(GroupVertices[Group],MATCH(Edges[[#This Row],[Vertex 1]],GroupVertices[Vertex],0)),1,1,"")</f>
        <v>1</v>
      </c>
      <c r="BE325" s="79" t="str">
        <f>REPLACE(INDEX(GroupVertices[Group],MATCH(Edges[[#This Row],[Vertex 2]],GroupVertices[Vertex],0)),1,1,"")</f>
        <v>1</v>
      </c>
      <c r="BF325" s="49">
        <v>0</v>
      </c>
      <c r="BG325" s="50">
        <v>0</v>
      </c>
      <c r="BH325" s="49">
        <v>0</v>
      </c>
      <c r="BI325" s="50">
        <v>0</v>
      </c>
      <c r="BJ325" s="49">
        <v>0</v>
      </c>
      <c r="BK325" s="50">
        <v>0</v>
      </c>
      <c r="BL325" s="49">
        <v>36</v>
      </c>
      <c r="BM325" s="50">
        <v>100</v>
      </c>
      <c r="BN325" s="49">
        <v>36</v>
      </c>
    </row>
    <row r="326" spans="1:66" ht="15">
      <c r="A326" s="65" t="s">
        <v>335</v>
      </c>
      <c r="B326" s="65" t="s">
        <v>377</v>
      </c>
      <c r="C326" s="66" t="s">
        <v>2815</v>
      </c>
      <c r="D326" s="67">
        <v>3</v>
      </c>
      <c r="E326" s="66" t="s">
        <v>132</v>
      </c>
      <c r="F326" s="69">
        <v>32</v>
      </c>
      <c r="G326" s="66"/>
      <c r="H326" s="70"/>
      <c r="I326" s="71"/>
      <c r="J326" s="71"/>
      <c r="K326" s="35" t="s">
        <v>65</v>
      </c>
      <c r="L326" s="72">
        <v>326</v>
      </c>
      <c r="M326" s="72"/>
      <c r="N326" s="73"/>
      <c r="O326" s="80" t="s">
        <v>407</v>
      </c>
      <c r="P326" s="82">
        <v>44480.35894675926</v>
      </c>
      <c r="Q326" s="80" t="s">
        <v>468</v>
      </c>
      <c r="R326" s="85" t="str">
        <f>HYPERLINK("https://econ.trib.al/w1YeE88")</f>
        <v>https://econ.trib.al/w1YeE88</v>
      </c>
      <c r="S326" s="80" t="s">
        <v>528</v>
      </c>
      <c r="T326" s="80"/>
      <c r="U326" s="80"/>
      <c r="V326" s="85" t="str">
        <f>HYPERLINK("https://pbs.twimg.com/profile_images/498539790849933314/u5A3CD6G_normal.jpeg")</f>
        <v>https://pbs.twimg.com/profile_images/498539790849933314/u5A3CD6G_normal.jpeg</v>
      </c>
      <c r="W326" s="82">
        <v>44480.35894675926</v>
      </c>
      <c r="X326" s="87">
        <v>44480</v>
      </c>
      <c r="Y326" s="83" t="s">
        <v>701</v>
      </c>
      <c r="Z326" s="85" t="str">
        <f>HYPERLINK("https://twitter.com/tigrinyan/status/1447481318284070915")</f>
        <v>https://twitter.com/tigrinyan/status/1447481318284070915</v>
      </c>
      <c r="AA326" s="80"/>
      <c r="AB326" s="80"/>
      <c r="AC326" s="83" t="s">
        <v>887</v>
      </c>
      <c r="AD326" s="80"/>
      <c r="AE326" s="80" t="b">
        <v>0</v>
      </c>
      <c r="AF326" s="80">
        <v>0</v>
      </c>
      <c r="AG326" s="83" t="s">
        <v>952</v>
      </c>
      <c r="AH326" s="80" t="b">
        <v>0</v>
      </c>
      <c r="AI326" s="80" t="s">
        <v>967</v>
      </c>
      <c r="AJ326" s="80"/>
      <c r="AK326" s="83" t="s">
        <v>952</v>
      </c>
      <c r="AL326" s="80" t="b">
        <v>0</v>
      </c>
      <c r="AM326" s="80">
        <v>10</v>
      </c>
      <c r="AN326" s="83" t="s">
        <v>896</v>
      </c>
      <c r="AO326" s="83" t="s">
        <v>979</v>
      </c>
      <c r="AP326" s="80" t="b">
        <v>0</v>
      </c>
      <c r="AQ326" s="83" t="s">
        <v>896</v>
      </c>
      <c r="AR326" s="80" t="s">
        <v>196</v>
      </c>
      <c r="AS326" s="80">
        <v>0</v>
      </c>
      <c r="AT326" s="80">
        <v>0</v>
      </c>
      <c r="AU326" s="80"/>
      <c r="AV326" s="80"/>
      <c r="AW326" s="80"/>
      <c r="AX326" s="80"/>
      <c r="AY326" s="80"/>
      <c r="AZ326" s="80"/>
      <c r="BA326" s="80"/>
      <c r="BB326" s="80"/>
      <c r="BC326">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335</v>
      </c>
      <c r="B327" s="65" t="s">
        <v>331</v>
      </c>
      <c r="C327" s="66" t="s">
        <v>2815</v>
      </c>
      <c r="D327" s="67">
        <v>3</v>
      </c>
      <c r="E327" s="66" t="s">
        <v>132</v>
      </c>
      <c r="F327" s="69">
        <v>32</v>
      </c>
      <c r="G327" s="66"/>
      <c r="H327" s="70"/>
      <c r="I327" s="71"/>
      <c r="J327" s="71"/>
      <c r="K327" s="35" t="s">
        <v>65</v>
      </c>
      <c r="L327" s="72">
        <v>327</v>
      </c>
      <c r="M327" s="72"/>
      <c r="N327" s="73"/>
      <c r="O327" s="80" t="s">
        <v>407</v>
      </c>
      <c r="P327" s="82">
        <v>44480.35894675926</v>
      </c>
      <c r="Q327" s="80" t="s">
        <v>468</v>
      </c>
      <c r="R327" s="85" t="str">
        <f>HYPERLINK("https://econ.trib.al/w1YeE88")</f>
        <v>https://econ.trib.al/w1YeE88</v>
      </c>
      <c r="S327" s="80" t="s">
        <v>528</v>
      </c>
      <c r="T327" s="80"/>
      <c r="U327" s="80"/>
      <c r="V327" s="85" t="str">
        <f>HYPERLINK("https://pbs.twimg.com/profile_images/498539790849933314/u5A3CD6G_normal.jpeg")</f>
        <v>https://pbs.twimg.com/profile_images/498539790849933314/u5A3CD6G_normal.jpeg</v>
      </c>
      <c r="W327" s="82">
        <v>44480.35894675926</v>
      </c>
      <c r="X327" s="87">
        <v>44480</v>
      </c>
      <c r="Y327" s="83" t="s">
        <v>701</v>
      </c>
      <c r="Z327" s="85" t="str">
        <f>HYPERLINK("https://twitter.com/tigrinyan/status/1447481318284070915")</f>
        <v>https://twitter.com/tigrinyan/status/1447481318284070915</v>
      </c>
      <c r="AA327" s="80"/>
      <c r="AB327" s="80"/>
      <c r="AC327" s="83" t="s">
        <v>887</v>
      </c>
      <c r="AD327" s="80"/>
      <c r="AE327" s="80" t="b">
        <v>0</v>
      </c>
      <c r="AF327" s="80">
        <v>0</v>
      </c>
      <c r="AG327" s="83" t="s">
        <v>952</v>
      </c>
      <c r="AH327" s="80" t="b">
        <v>0</v>
      </c>
      <c r="AI327" s="80" t="s">
        <v>967</v>
      </c>
      <c r="AJ327" s="80"/>
      <c r="AK327" s="83" t="s">
        <v>952</v>
      </c>
      <c r="AL327" s="80" t="b">
        <v>0</v>
      </c>
      <c r="AM327" s="80">
        <v>10</v>
      </c>
      <c r="AN327" s="83" t="s">
        <v>896</v>
      </c>
      <c r="AO327" s="83" t="s">
        <v>979</v>
      </c>
      <c r="AP327" s="80" t="b">
        <v>0</v>
      </c>
      <c r="AQ327" s="83" t="s">
        <v>896</v>
      </c>
      <c r="AR327" s="80" t="s">
        <v>196</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335</v>
      </c>
      <c r="B328" s="65" t="s">
        <v>378</v>
      </c>
      <c r="C328" s="66" t="s">
        <v>2815</v>
      </c>
      <c r="D328" s="67">
        <v>3</v>
      </c>
      <c r="E328" s="66" t="s">
        <v>132</v>
      </c>
      <c r="F328" s="69">
        <v>32</v>
      </c>
      <c r="G328" s="66"/>
      <c r="H328" s="70"/>
      <c r="I328" s="71"/>
      <c r="J328" s="71"/>
      <c r="K328" s="35" t="s">
        <v>65</v>
      </c>
      <c r="L328" s="72">
        <v>328</v>
      </c>
      <c r="M328" s="72"/>
      <c r="N328" s="73"/>
      <c r="O328" s="80" t="s">
        <v>407</v>
      </c>
      <c r="P328" s="82">
        <v>44480.35894675926</v>
      </c>
      <c r="Q328" s="80" t="s">
        <v>468</v>
      </c>
      <c r="R328" s="85" t="str">
        <f>HYPERLINK("https://econ.trib.al/w1YeE88")</f>
        <v>https://econ.trib.al/w1YeE88</v>
      </c>
      <c r="S328" s="80" t="s">
        <v>528</v>
      </c>
      <c r="T328" s="80"/>
      <c r="U328" s="80"/>
      <c r="V328" s="85" t="str">
        <f>HYPERLINK("https://pbs.twimg.com/profile_images/498539790849933314/u5A3CD6G_normal.jpeg")</f>
        <v>https://pbs.twimg.com/profile_images/498539790849933314/u5A3CD6G_normal.jpeg</v>
      </c>
      <c r="W328" s="82">
        <v>44480.35894675926</v>
      </c>
      <c r="X328" s="87">
        <v>44480</v>
      </c>
      <c r="Y328" s="83" t="s">
        <v>701</v>
      </c>
      <c r="Z328" s="85" t="str">
        <f>HYPERLINK("https://twitter.com/tigrinyan/status/1447481318284070915")</f>
        <v>https://twitter.com/tigrinyan/status/1447481318284070915</v>
      </c>
      <c r="AA328" s="80"/>
      <c r="AB328" s="80"/>
      <c r="AC328" s="83" t="s">
        <v>887</v>
      </c>
      <c r="AD328" s="80"/>
      <c r="AE328" s="80" t="b">
        <v>0</v>
      </c>
      <c r="AF328" s="80">
        <v>0</v>
      </c>
      <c r="AG328" s="83" t="s">
        <v>952</v>
      </c>
      <c r="AH328" s="80" t="b">
        <v>0</v>
      </c>
      <c r="AI328" s="80" t="s">
        <v>967</v>
      </c>
      <c r="AJ328" s="80"/>
      <c r="AK328" s="83" t="s">
        <v>952</v>
      </c>
      <c r="AL328" s="80" t="b">
        <v>0</v>
      </c>
      <c r="AM328" s="80">
        <v>10</v>
      </c>
      <c r="AN328" s="83" t="s">
        <v>896</v>
      </c>
      <c r="AO328" s="83" t="s">
        <v>979</v>
      </c>
      <c r="AP328" s="80" t="b">
        <v>0</v>
      </c>
      <c r="AQ328" s="83" t="s">
        <v>896</v>
      </c>
      <c r="AR328" s="80" t="s">
        <v>196</v>
      </c>
      <c r="AS328" s="80">
        <v>0</v>
      </c>
      <c r="AT328" s="80">
        <v>0</v>
      </c>
      <c r="AU328" s="80"/>
      <c r="AV328" s="80"/>
      <c r="AW328" s="80"/>
      <c r="AX328" s="80"/>
      <c r="AY328" s="80"/>
      <c r="AZ328" s="80"/>
      <c r="BA328" s="80"/>
      <c r="BB328" s="80"/>
      <c r="BC328">
        <v>1</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335</v>
      </c>
      <c r="B329" s="65" t="s">
        <v>342</v>
      </c>
      <c r="C329" s="66" t="s">
        <v>2815</v>
      </c>
      <c r="D329" s="67">
        <v>3</v>
      </c>
      <c r="E329" s="66" t="s">
        <v>132</v>
      </c>
      <c r="F329" s="69">
        <v>32</v>
      </c>
      <c r="G329" s="66"/>
      <c r="H329" s="70"/>
      <c r="I329" s="71"/>
      <c r="J329" s="71"/>
      <c r="K329" s="35" t="s">
        <v>65</v>
      </c>
      <c r="L329" s="72">
        <v>329</v>
      </c>
      <c r="M329" s="72"/>
      <c r="N329" s="73"/>
      <c r="O329" s="80" t="s">
        <v>408</v>
      </c>
      <c r="P329" s="82">
        <v>44480.35894675926</v>
      </c>
      <c r="Q329" s="80" t="s">
        <v>468</v>
      </c>
      <c r="R329" s="85" t="str">
        <f>HYPERLINK("https://econ.trib.al/w1YeE88")</f>
        <v>https://econ.trib.al/w1YeE88</v>
      </c>
      <c r="S329" s="80" t="s">
        <v>528</v>
      </c>
      <c r="T329" s="80"/>
      <c r="U329" s="80"/>
      <c r="V329" s="85" t="str">
        <f>HYPERLINK("https://pbs.twimg.com/profile_images/498539790849933314/u5A3CD6G_normal.jpeg")</f>
        <v>https://pbs.twimg.com/profile_images/498539790849933314/u5A3CD6G_normal.jpeg</v>
      </c>
      <c r="W329" s="82">
        <v>44480.35894675926</v>
      </c>
      <c r="X329" s="87">
        <v>44480</v>
      </c>
      <c r="Y329" s="83" t="s">
        <v>701</v>
      </c>
      <c r="Z329" s="85" t="str">
        <f>HYPERLINK("https://twitter.com/tigrinyan/status/1447481318284070915")</f>
        <v>https://twitter.com/tigrinyan/status/1447481318284070915</v>
      </c>
      <c r="AA329" s="80"/>
      <c r="AB329" s="80"/>
      <c r="AC329" s="83" t="s">
        <v>887</v>
      </c>
      <c r="AD329" s="80"/>
      <c r="AE329" s="80" t="b">
        <v>0</v>
      </c>
      <c r="AF329" s="80">
        <v>0</v>
      </c>
      <c r="AG329" s="83" t="s">
        <v>952</v>
      </c>
      <c r="AH329" s="80" t="b">
        <v>0</v>
      </c>
      <c r="AI329" s="80" t="s">
        <v>967</v>
      </c>
      <c r="AJ329" s="80"/>
      <c r="AK329" s="83" t="s">
        <v>952</v>
      </c>
      <c r="AL329" s="80" t="b">
        <v>0</v>
      </c>
      <c r="AM329" s="80">
        <v>10</v>
      </c>
      <c r="AN329" s="83" t="s">
        <v>896</v>
      </c>
      <c r="AO329" s="83" t="s">
        <v>979</v>
      </c>
      <c r="AP329" s="80" t="b">
        <v>0</v>
      </c>
      <c r="AQ329" s="83" t="s">
        <v>896</v>
      </c>
      <c r="AR329" s="80" t="s">
        <v>196</v>
      </c>
      <c r="AS329" s="80">
        <v>0</v>
      </c>
      <c r="AT329" s="80">
        <v>0</v>
      </c>
      <c r="AU329" s="80"/>
      <c r="AV329" s="80"/>
      <c r="AW329" s="80"/>
      <c r="AX329" s="80"/>
      <c r="AY329" s="80"/>
      <c r="AZ329" s="80"/>
      <c r="BA329" s="80"/>
      <c r="BB329" s="80"/>
      <c r="BC329">
        <v>1</v>
      </c>
      <c r="BD329" s="79" t="str">
        <f>REPLACE(INDEX(GroupVertices[Group],MATCH(Edges[[#This Row],[Vertex 1]],GroupVertices[Vertex],0)),1,1,"")</f>
        <v>1</v>
      </c>
      <c r="BE329" s="79" t="str">
        <f>REPLACE(INDEX(GroupVertices[Group],MATCH(Edges[[#This Row],[Vertex 2]],GroupVertices[Vertex],0)),1,1,"")</f>
        <v>1</v>
      </c>
      <c r="BF329" s="49">
        <v>0</v>
      </c>
      <c r="BG329" s="50">
        <v>0</v>
      </c>
      <c r="BH329" s="49">
        <v>0</v>
      </c>
      <c r="BI329" s="50">
        <v>0</v>
      </c>
      <c r="BJ329" s="49">
        <v>0</v>
      </c>
      <c r="BK329" s="50">
        <v>0</v>
      </c>
      <c r="BL329" s="49">
        <v>34</v>
      </c>
      <c r="BM329" s="50">
        <v>100</v>
      </c>
      <c r="BN329" s="49">
        <v>34</v>
      </c>
    </row>
    <row r="330" spans="1:66" ht="15">
      <c r="A330" s="65" t="s">
        <v>336</v>
      </c>
      <c r="B330" s="65" t="s">
        <v>361</v>
      </c>
      <c r="C330" s="66" t="s">
        <v>2815</v>
      </c>
      <c r="D330" s="67">
        <v>3</v>
      </c>
      <c r="E330" s="66" t="s">
        <v>132</v>
      </c>
      <c r="F330" s="69">
        <v>32</v>
      </c>
      <c r="G330" s="66"/>
      <c r="H330" s="70"/>
      <c r="I330" s="71"/>
      <c r="J330" s="71"/>
      <c r="K330" s="35" t="s">
        <v>65</v>
      </c>
      <c r="L330" s="72">
        <v>330</v>
      </c>
      <c r="M330" s="72"/>
      <c r="N330" s="73"/>
      <c r="O330" s="80" t="s">
        <v>407</v>
      </c>
      <c r="P330" s="82">
        <v>44480.376493055555</v>
      </c>
      <c r="Q330" s="80" t="s">
        <v>454</v>
      </c>
      <c r="R330" s="85" t="str">
        <f>HYPERLINK("https://vegnews.com/2021/10/ashton-kutcher-cell-based-meat")</f>
        <v>https://vegnews.com/2021/10/ashton-kutcher-cell-based-meat</v>
      </c>
      <c r="S330" s="80" t="s">
        <v>532</v>
      </c>
      <c r="T330" s="83" t="s">
        <v>558</v>
      </c>
      <c r="U330" s="80"/>
      <c r="V330" s="85" t="str">
        <f>HYPERLINK("https://pbs.twimg.com/profile_images/1420068976957210624/Wjpu0_Mk_normal.jpg")</f>
        <v>https://pbs.twimg.com/profile_images/1420068976957210624/Wjpu0_Mk_normal.jpg</v>
      </c>
      <c r="W330" s="82">
        <v>44480.376493055555</v>
      </c>
      <c r="X330" s="87">
        <v>44480</v>
      </c>
      <c r="Y330" s="83" t="s">
        <v>702</v>
      </c>
      <c r="Z330" s="85" t="str">
        <f>HYPERLINK("https://twitter.com/jshpigler/status/1447487674202394624")</f>
        <v>https://twitter.com/jshpigler/status/1447487674202394624</v>
      </c>
      <c r="AA330" s="80"/>
      <c r="AB330" s="80"/>
      <c r="AC330" s="83" t="s">
        <v>888</v>
      </c>
      <c r="AD330" s="80"/>
      <c r="AE330" s="80" t="b">
        <v>0</v>
      </c>
      <c r="AF330" s="80">
        <v>0</v>
      </c>
      <c r="AG330" s="83" t="s">
        <v>952</v>
      </c>
      <c r="AH330" s="80" t="b">
        <v>0</v>
      </c>
      <c r="AI330" s="80" t="s">
        <v>967</v>
      </c>
      <c r="AJ330" s="80"/>
      <c r="AK330" s="83" t="s">
        <v>952</v>
      </c>
      <c r="AL330" s="80" t="b">
        <v>0</v>
      </c>
      <c r="AM330" s="80">
        <v>6</v>
      </c>
      <c r="AN330" s="83" t="s">
        <v>931</v>
      </c>
      <c r="AO330" s="83" t="s">
        <v>972</v>
      </c>
      <c r="AP330" s="80" t="b">
        <v>0</v>
      </c>
      <c r="AQ330" s="83" t="s">
        <v>931</v>
      </c>
      <c r="AR330" s="80" t="s">
        <v>196</v>
      </c>
      <c r="AS330" s="80">
        <v>0</v>
      </c>
      <c r="AT330" s="80">
        <v>0</v>
      </c>
      <c r="AU330" s="80"/>
      <c r="AV330" s="80"/>
      <c r="AW330" s="80"/>
      <c r="AX330" s="80"/>
      <c r="AY330" s="80"/>
      <c r="AZ330" s="80"/>
      <c r="BA330" s="80"/>
      <c r="BB330" s="80"/>
      <c r="BC330">
        <v>1</v>
      </c>
      <c r="BD330" s="79" t="str">
        <f>REPLACE(INDEX(GroupVertices[Group],MATCH(Edges[[#This Row],[Vertex 1]],GroupVertices[Vertex],0)),1,1,"")</f>
        <v>4</v>
      </c>
      <c r="BE330" s="79" t="str">
        <f>REPLACE(INDEX(GroupVertices[Group],MATCH(Edges[[#This Row],[Vertex 2]],GroupVertices[Vertex],0)),1,1,"")</f>
        <v>4</v>
      </c>
      <c r="BF330" s="49"/>
      <c r="BG330" s="50"/>
      <c r="BH330" s="49"/>
      <c r="BI330" s="50"/>
      <c r="BJ330" s="49"/>
      <c r="BK330" s="50"/>
      <c r="BL330" s="49"/>
      <c r="BM330" s="50"/>
      <c r="BN330" s="49"/>
    </row>
    <row r="331" spans="1:66" ht="15">
      <c r="A331" s="65" t="s">
        <v>336</v>
      </c>
      <c r="B331" s="65" t="s">
        <v>390</v>
      </c>
      <c r="C331" s="66" t="s">
        <v>2815</v>
      </c>
      <c r="D331" s="67">
        <v>3</v>
      </c>
      <c r="E331" s="66" t="s">
        <v>132</v>
      </c>
      <c r="F331" s="69">
        <v>32</v>
      </c>
      <c r="G331" s="66"/>
      <c r="H331" s="70"/>
      <c r="I331" s="71"/>
      <c r="J331" s="71"/>
      <c r="K331" s="35" t="s">
        <v>65</v>
      </c>
      <c r="L331" s="72">
        <v>331</v>
      </c>
      <c r="M331" s="72"/>
      <c r="N331" s="73"/>
      <c r="O331" s="80" t="s">
        <v>407</v>
      </c>
      <c r="P331" s="82">
        <v>44480.376493055555</v>
      </c>
      <c r="Q331" s="80" t="s">
        <v>454</v>
      </c>
      <c r="R331" s="85" t="str">
        <f>HYPERLINK("https://vegnews.com/2021/10/ashton-kutcher-cell-based-meat")</f>
        <v>https://vegnews.com/2021/10/ashton-kutcher-cell-based-meat</v>
      </c>
      <c r="S331" s="80" t="s">
        <v>532</v>
      </c>
      <c r="T331" s="83" t="s">
        <v>558</v>
      </c>
      <c r="U331" s="80"/>
      <c r="V331" s="85" t="str">
        <f>HYPERLINK("https://pbs.twimg.com/profile_images/1420068976957210624/Wjpu0_Mk_normal.jpg")</f>
        <v>https://pbs.twimg.com/profile_images/1420068976957210624/Wjpu0_Mk_normal.jpg</v>
      </c>
      <c r="W331" s="82">
        <v>44480.376493055555</v>
      </c>
      <c r="X331" s="87">
        <v>44480</v>
      </c>
      <c r="Y331" s="83" t="s">
        <v>702</v>
      </c>
      <c r="Z331" s="85" t="str">
        <f>HYPERLINK("https://twitter.com/jshpigler/status/1447487674202394624")</f>
        <v>https://twitter.com/jshpigler/status/1447487674202394624</v>
      </c>
      <c r="AA331" s="80"/>
      <c r="AB331" s="80"/>
      <c r="AC331" s="83" t="s">
        <v>888</v>
      </c>
      <c r="AD331" s="80"/>
      <c r="AE331" s="80" t="b">
        <v>0</v>
      </c>
      <c r="AF331" s="80">
        <v>0</v>
      </c>
      <c r="AG331" s="83" t="s">
        <v>952</v>
      </c>
      <c r="AH331" s="80" t="b">
        <v>0</v>
      </c>
      <c r="AI331" s="80" t="s">
        <v>967</v>
      </c>
      <c r="AJ331" s="80"/>
      <c r="AK331" s="83" t="s">
        <v>952</v>
      </c>
      <c r="AL331" s="80" t="b">
        <v>0</v>
      </c>
      <c r="AM331" s="80">
        <v>6</v>
      </c>
      <c r="AN331" s="83" t="s">
        <v>931</v>
      </c>
      <c r="AO331" s="83" t="s">
        <v>972</v>
      </c>
      <c r="AP331" s="80" t="b">
        <v>0</v>
      </c>
      <c r="AQ331" s="83" t="s">
        <v>931</v>
      </c>
      <c r="AR331" s="80" t="s">
        <v>196</v>
      </c>
      <c r="AS331" s="80">
        <v>0</v>
      </c>
      <c r="AT331" s="80">
        <v>0</v>
      </c>
      <c r="AU331" s="80"/>
      <c r="AV331" s="80"/>
      <c r="AW331" s="80"/>
      <c r="AX331" s="80"/>
      <c r="AY331" s="80"/>
      <c r="AZ331" s="80"/>
      <c r="BA331" s="80"/>
      <c r="BB331" s="80"/>
      <c r="BC331">
        <v>1</v>
      </c>
      <c r="BD331" s="79" t="str">
        <f>REPLACE(INDEX(GroupVertices[Group],MATCH(Edges[[#This Row],[Vertex 1]],GroupVertices[Vertex],0)),1,1,"")</f>
        <v>4</v>
      </c>
      <c r="BE331" s="79" t="str">
        <f>REPLACE(INDEX(GroupVertices[Group],MATCH(Edges[[#This Row],[Vertex 2]],GroupVertices[Vertex],0)),1,1,"")</f>
        <v>4</v>
      </c>
      <c r="BF331" s="49"/>
      <c r="BG331" s="50"/>
      <c r="BH331" s="49"/>
      <c r="BI331" s="50"/>
      <c r="BJ331" s="49"/>
      <c r="BK331" s="50"/>
      <c r="BL331" s="49"/>
      <c r="BM331" s="50"/>
      <c r="BN331" s="49"/>
    </row>
    <row r="332" spans="1:66" ht="15">
      <c r="A332" s="65" t="s">
        <v>336</v>
      </c>
      <c r="B332" s="65" t="s">
        <v>362</v>
      </c>
      <c r="C332" s="66" t="s">
        <v>2815</v>
      </c>
      <c r="D332" s="67">
        <v>3</v>
      </c>
      <c r="E332" s="66" t="s">
        <v>132</v>
      </c>
      <c r="F332" s="69">
        <v>32</v>
      </c>
      <c r="G332" s="66"/>
      <c r="H332" s="70"/>
      <c r="I332" s="71"/>
      <c r="J332" s="71"/>
      <c r="K332" s="35" t="s">
        <v>65</v>
      </c>
      <c r="L332" s="72">
        <v>332</v>
      </c>
      <c r="M332" s="72"/>
      <c r="N332" s="73"/>
      <c r="O332" s="80" t="s">
        <v>408</v>
      </c>
      <c r="P332" s="82">
        <v>44480.376493055555</v>
      </c>
      <c r="Q332" s="80" t="s">
        <v>454</v>
      </c>
      <c r="R332" s="85" t="str">
        <f>HYPERLINK("https://vegnews.com/2021/10/ashton-kutcher-cell-based-meat")</f>
        <v>https://vegnews.com/2021/10/ashton-kutcher-cell-based-meat</v>
      </c>
      <c r="S332" s="80" t="s">
        <v>532</v>
      </c>
      <c r="T332" s="83" t="s">
        <v>558</v>
      </c>
      <c r="U332" s="80"/>
      <c r="V332" s="85" t="str">
        <f>HYPERLINK("https://pbs.twimg.com/profile_images/1420068976957210624/Wjpu0_Mk_normal.jpg")</f>
        <v>https://pbs.twimg.com/profile_images/1420068976957210624/Wjpu0_Mk_normal.jpg</v>
      </c>
      <c r="W332" s="82">
        <v>44480.376493055555</v>
      </c>
      <c r="X332" s="87">
        <v>44480</v>
      </c>
      <c r="Y332" s="83" t="s">
        <v>702</v>
      </c>
      <c r="Z332" s="85" t="str">
        <f>HYPERLINK("https://twitter.com/jshpigler/status/1447487674202394624")</f>
        <v>https://twitter.com/jshpigler/status/1447487674202394624</v>
      </c>
      <c r="AA332" s="80"/>
      <c r="AB332" s="80"/>
      <c r="AC332" s="83" t="s">
        <v>888</v>
      </c>
      <c r="AD332" s="80"/>
      <c r="AE332" s="80" t="b">
        <v>0</v>
      </c>
      <c r="AF332" s="80">
        <v>0</v>
      </c>
      <c r="AG332" s="83" t="s">
        <v>952</v>
      </c>
      <c r="AH332" s="80" t="b">
        <v>0</v>
      </c>
      <c r="AI332" s="80" t="s">
        <v>967</v>
      </c>
      <c r="AJ332" s="80"/>
      <c r="AK332" s="83" t="s">
        <v>952</v>
      </c>
      <c r="AL332" s="80" t="b">
        <v>0</v>
      </c>
      <c r="AM332" s="80">
        <v>6</v>
      </c>
      <c r="AN332" s="83" t="s">
        <v>931</v>
      </c>
      <c r="AO332" s="83" t="s">
        <v>972</v>
      </c>
      <c r="AP332" s="80" t="b">
        <v>0</v>
      </c>
      <c r="AQ332" s="83" t="s">
        <v>931</v>
      </c>
      <c r="AR332" s="80" t="s">
        <v>196</v>
      </c>
      <c r="AS332" s="80">
        <v>0</v>
      </c>
      <c r="AT332" s="80">
        <v>0</v>
      </c>
      <c r="AU332" s="80"/>
      <c r="AV332" s="80"/>
      <c r="AW332" s="80"/>
      <c r="AX332" s="80"/>
      <c r="AY332" s="80"/>
      <c r="AZ332" s="80"/>
      <c r="BA332" s="80"/>
      <c r="BB332" s="80"/>
      <c r="BC332">
        <v>1</v>
      </c>
      <c r="BD332" s="79" t="str">
        <f>REPLACE(INDEX(GroupVertices[Group],MATCH(Edges[[#This Row],[Vertex 1]],GroupVertices[Vertex],0)),1,1,"")</f>
        <v>4</v>
      </c>
      <c r="BE332" s="79" t="str">
        <f>REPLACE(INDEX(GroupVertices[Group],MATCH(Edges[[#This Row],[Vertex 2]],GroupVertices[Vertex],0)),1,1,"")</f>
        <v>4</v>
      </c>
      <c r="BF332" s="49">
        <v>1</v>
      </c>
      <c r="BG332" s="50">
        <v>5.555555555555555</v>
      </c>
      <c r="BH332" s="49">
        <v>0</v>
      </c>
      <c r="BI332" s="50">
        <v>0</v>
      </c>
      <c r="BJ332" s="49">
        <v>0</v>
      </c>
      <c r="BK332" s="50">
        <v>0</v>
      </c>
      <c r="BL332" s="49">
        <v>17</v>
      </c>
      <c r="BM332" s="50">
        <v>94.44444444444444</v>
      </c>
      <c r="BN332" s="49">
        <v>18</v>
      </c>
    </row>
    <row r="333" spans="1:66" ht="15">
      <c r="A333" s="65" t="s">
        <v>337</v>
      </c>
      <c r="B333" s="65" t="s">
        <v>337</v>
      </c>
      <c r="C333" s="66" t="s">
        <v>2815</v>
      </c>
      <c r="D333" s="67">
        <v>3</v>
      </c>
      <c r="E333" s="66" t="s">
        <v>132</v>
      </c>
      <c r="F333" s="69">
        <v>32</v>
      </c>
      <c r="G333" s="66"/>
      <c r="H333" s="70"/>
      <c r="I333" s="71"/>
      <c r="J333" s="71"/>
      <c r="K333" s="35" t="s">
        <v>65</v>
      </c>
      <c r="L333" s="72">
        <v>333</v>
      </c>
      <c r="M333" s="72"/>
      <c r="N333" s="73"/>
      <c r="O333" s="80" t="s">
        <v>196</v>
      </c>
      <c r="P333" s="82">
        <v>44480.38282407408</v>
      </c>
      <c r="Q333" s="80" t="s">
        <v>482</v>
      </c>
      <c r="R333" s="85" t="str">
        <f>HYPERLINK("https://vegconomist.com/studies-and-numbers/study-finds-over-half-of-south-africans-are-highly-likely-to-buy-alt-meat-products/")</f>
        <v>https://vegconomist.com/studies-and-numbers/study-finds-over-half-of-south-africans-are-highly-likely-to-buy-alt-meat-products/</v>
      </c>
      <c r="S333" s="80" t="s">
        <v>524</v>
      </c>
      <c r="T333" s="80"/>
      <c r="U333" s="80"/>
      <c r="V333" s="85" t="str">
        <f>HYPERLINK("https://pbs.twimg.com/profile_images/1284061129816367104/bEv3De_Q_normal.jpg")</f>
        <v>https://pbs.twimg.com/profile_images/1284061129816367104/bEv3De_Q_normal.jpg</v>
      </c>
      <c r="W333" s="82">
        <v>44480.38282407408</v>
      </c>
      <c r="X333" s="87">
        <v>44480</v>
      </c>
      <c r="Y333" s="83" t="s">
        <v>703</v>
      </c>
      <c r="Z333" s="85" t="str">
        <f>HYPERLINK("https://twitter.com/animalsujet/status/1447489967899480066")</f>
        <v>https://twitter.com/animalsujet/status/1447489967899480066</v>
      </c>
      <c r="AA333" s="80"/>
      <c r="AB333" s="80"/>
      <c r="AC333" s="83" t="s">
        <v>889</v>
      </c>
      <c r="AD333" s="80"/>
      <c r="AE333" s="80" t="b">
        <v>0</v>
      </c>
      <c r="AF333" s="80">
        <v>0</v>
      </c>
      <c r="AG333" s="83" t="s">
        <v>952</v>
      </c>
      <c r="AH333" s="80" t="b">
        <v>0</v>
      </c>
      <c r="AI333" s="80" t="s">
        <v>967</v>
      </c>
      <c r="AJ333" s="80"/>
      <c r="AK333" s="83" t="s">
        <v>952</v>
      </c>
      <c r="AL333" s="80" t="b">
        <v>0</v>
      </c>
      <c r="AM333" s="80">
        <v>0</v>
      </c>
      <c r="AN333" s="83" t="s">
        <v>952</v>
      </c>
      <c r="AO333" s="83" t="s">
        <v>972</v>
      </c>
      <c r="AP333" s="80" t="b">
        <v>0</v>
      </c>
      <c r="AQ333" s="83" t="s">
        <v>889</v>
      </c>
      <c r="AR333" s="80" t="s">
        <v>196</v>
      </c>
      <c r="AS333" s="80">
        <v>0</v>
      </c>
      <c r="AT333" s="80">
        <v>0</v>
      </c>
      <c r="AU333" s="80"/>
      <c r="AV333" s="80"/>
      <c r="AW333" s="80"/>
      <c r="AX333" s="80"/>
      <c r="AY333" s="80"/>
      <c r="AZ333" s="80"/>
      <c r="BA333" s="80"/>
      <c r="BB333" s="80"/>
      <c r="BC333">
        <v>1</v>
      </c>
      <c r="BD333" s="79" t="str">
        <f>REPLACE(INDEX(GroupVertices[Group],MATCH(Edges[[#This Row],[Vertex 1]],GroupVertices[Vertex],0)),1,1,"")</f>
        <v>2</v>
      </c>
      <c r="BE333" s="79" t="str">
        <f>REPLACE(INDEX(GroupVertices[Group],MATCH(Edges[[#This Row],[Vertex 2]],GroupVertices[Vertex],0)),1,1,"")</f>
        <v>2</v>
      </c>
      <c r="BF333" s="49">
        <v>0</v>
      </c>
      <c r="BG333" s="50">
        <v>0</v>
      </c>
      <c r="BH333" s="49">
        <v>0</v>
      </c>
      <c r="BI333" s="50">
        <v>0</v>
      </c>
      <c r="BJ333" s="49">
        <v>0</v>
      </c>
      <c r="BK333" s="50">
        <v>0</v>
      </c>
      <c r="BL333" s="49">
        <v>38</v>
      </c>
      <c r="BM333" s="50">
        <v>100</v>
      </c>
      <c r="BN333" s="49">
        <v>38</v>
      </c>
    </row>
    <row r="334" spans="1:66" ht="15">
      <c r="A334" s="65" t="s">
        <v>338</v>
      </c>
      <c r="B334" s="65" t="s">
        <v>338</v>
      </c>
      <c r="C334" s="66" t="s">
        <v>2815</v>
      </c>
      <c r="D334" s="67">
        <v>3</v>
      </c>
      <c r="E334" s="66" t="s">
        <v>132</v>
      </c>
      <c r="F334" s="69">
        <v>32</v>
      </c>
      <c r="G334" s="66"/>
      <c r="H334" s="70"/>
      <c r="I334" s="71"/>
      <c r="J334" s="71"/>
      <c r="K334" s="35" t="s">
        <v>65</v>
      </c>
      <c r="L334" s="72">
        <v>334</v>
      </c>
      <c r="M334" s="72"/>
      <c r="N334" s="73"/>
      <c r="O334" s="80" t="s">
        <v>196</v>
      </c>
      <c r="P334" s="82">
        <v>44480.52700231481</v>
      </c>
      <c r="Q334" s="80" t="s">
        <v>483</v>
      </c>
      <c r="R334" s="85" t="str">
        <f>HYPERLINK("https://3dprint.com/285770/ashton-kutcher-group-teams-with-bioprinted-alt-meat-startup-meatech/")</f>
        <v>https://3dprint.com/285770/ashton-kutcher-group-teams-with-bioprinted-alt-meat-startup-meatech/</v>
      </c>
      <c r="S334" s="80" t="s">
        <v>541</v>
      </c>
      <c r="T334" s="80"/>
      <c r="U334" s="85" t="str">
        <f>HYPERLINK("https://pbs.twimg.com/media/FBaz-aLWUAA0dy8.jpg")</f>
        <v>https://pbs.twimg.com/media/FBaz-aLWUAA0dy8.jpg</v>
      </c>
      <c r="V334" s="85" t="str">
        <f>HYPERLINK("https://pbs.twimg.com/media/FBaz-aLWUAA0dy8.jpg")</f>
        <v>https://pbs.twimg.com/media/FBaz-aLWUAA0dy8.jpg</v>
      </c>
      <c r="W334" s="82">
        <v>44480.52700231481</v>
      </c>
      <c r="X334" s="87">
        <v>44480</v>
      </c>
      <c r="Y334" s="83" t="s">
        <v>704</v>
      </c>
      <c r="Z334" s="85" t="str">
        <f>HYPERLINK("https://twitter.com/makers_movement/status/1447542217271386117")</f>
        <v>https://twitter.com/makers_movement/status/1447542217271386117</v>
      </c>
      <c r="AA334" s="80"/>
      <c r="AB334" s="80"/>
      <c r="AC334" s="83" t="s">
        <v>890</v>
      </c>
      <c r="AD334" s="80"/>
      <c r="AE334" s="80" t="b">
        <v>0</v>
      </c>
      <c r="AF334" s="80">
        <v>0</v>
      </c>
      <c r="AG334" s="83" t="s">
        <v>952</v>
      </c>
      <c r="AH334" s="80" t="b">
        <v>0</v>
      </c>
      <c r="AI334" s="80" t="s">
        <v>967</v>
      </c>
      <c r="AJ334" s="80"/>
      <c r="AK334" s="83" t="s">
        <v>952</v>
      </c>
      <c r="AL334" s="80" t="b">
        <v>0</v>
      </c>
      <c r="AM334" s="80">
        <v>0</v>
      </c>
      <c r="AN334" s="83" t="s">
        <v>952</v>
      </c>
      <c r="AO334" s="83" t="s">
        <v>984</v>
      </c>
      <c r="AP334" s="80" t="b">
        <v>0</v>
      </c>
      <c r="AQ334" s="83" t="s">
        <v>890</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2</v>
      </c>
      <c r="BE334" s="79" t="str">
        <f>REPLACE(INDEX(GroupVertices[Group],MATCH(Edges[[#This Row],[Vertex 2]],GroupVertices[Vertex],0)),1,1,"")</f>
        <v>2</v>
      </c>
      <c r="BF334" s="49">
        <v>1</v>
      </c>
      <c r="BG334" s="50">
        <v>2.7027027027027026</v>
      </c>
      <c r="BH334" s="49">
        <v>0</v>
      </c>
      <c r="BI334" s="50">
        <v>0</v>
      </c>
      <c r="BJ334" s="49">
        <v>0</v>
      </c>
      <c r="BK334" s="50">
        <v>0</v>
      </c>
      <c r="BL334" s="49">
        <v>36</v>
      </c>
      <c r="BM334" s="50">
        <v>97.29729729729729</v>
      </c>
      <c r="BN334" s="49">
        <v>37</v>
      </c>
    </row>
    <row r="335" spans="1:66" ht="15">
      <c r="A335" s="65" t="s">
        <v>339</v>
      </c>
      <c r="B335" s="65" t="s">
        <v>339</v>
      </c>
      <c r="C335" s="66" t="s">
        <v>2815</v>
      </c>
      <c r="D335" s="67">
        <v>3</v>
      </c>
      <c r="E335" s="66" t="s">
        <v>132</v>
      </c>
      <c r="F335" s="69">
        <v>32</v>
      </c>
      <c r="G335" s="66"/>
      <c r="H335" s="70"/>
      <c r="I335" s="71"/>
      <c r="J335" s="71"/>
      <c r="K335" s="35" t="s">
        <v>65</v>
      </c>
      <c r="L335" s="72">
        <v>335</v>
      </c>
      <c r="M335" s="72"/>
      <c r="N335" s="73"/>
      <c r="O335" s="80" t="s">
        <v>196</v>
      </c>
      <c r="P335" s="82">
        <v>44480.655486111114</v>
      </c>
      <c r="Q335" s="80" t="s">
        <v>484</v>
      </c>
      <c r="R335" s="80"/>
      <c r="S335" s="80"/>
      <c r="T335" s="83" t="s">
        <v>560</v>
      </c>
      <c r="U335" s="85" t="str">
        <f>HYPERLINK("https://pbs.twimg.com/media/FBbeG7hXMAAG8sY.jpg")</f>
        <v>https://pbs.twimg.com/media/FBbeG7hXMAAG8sY.jpg</v>
      </c>
      <c r="V335" s="85" t="str">
        <f>HYPERLINK("https://pbs.twimg.com/media/FBbeG7hXMAAG8sY.jpg")</f>
        <v>https://pbs.twimg.com/media/FBbeG7hXMAAG8sY.jpg</v>
      </c>
      <c r="W335" s="82">
        <v>44480.655486111114</v>
      </c>
      <c r="X335" s="87">
        <v>44480</v>
      </c>
      <c r="Y335" s="83" t="s">
        <v>705</v>
      </c>
      <c r="Z335" s="85" t="str">
        <f>HYPERLINK("https://twitter.com/vegansfacts/status/1447588777141149698")</f>
        <v>https://twitter.com/vegansfacts/status/1447588777141149698</v>
      </c>
      <c r="AA335" s="80"/>
      <c r="AB335" s="80"/>
      <c r="AC335" s="83" t="s">
        <v>891</v>
      </c>
      <c r="AD335" s="80"/>
      <c r="AE335" s="80" t="b">
        <v>0</v>
      </c>
      <c r="AF335" s="80">
        <v>1</v>
      </c>
      <c r="AG335" s="83" t="s">
        <v>952</v>
      </c>
      <c r="AH335" s="80" t="b">
        <v>0</v>
      </c>
      <c r="AI335" s="80" t="s">
        <v>967</v>
      </c>
      <c r="AJ335" s="80"/>
      <c r="AK335" s="83" t="s">
        <v>952</v>
      </c>
      <c r="AL335" s="80" t="b">
        <v>0</v>
      </c>
      <c r="AM335" s="80">
        <v>0</v>
      </c>
      <c r="AN335" s="83" t="s">
        <v>952</v>
      </c>
      <c r="AO335" s="83" t="s">
        <v>993</v>
      </c>
      <c r="AP335" s="80" t="b">
        <v>0</v>
      </c>
      <c r="AQ335" s="83" t="s">
        <v>891</v>
      </c>
      <c r="AR335" s="80" t="s">
        <v>196</v>
      </c>
      <c r="AS335" s="80">
        <v>0</v>
      </c>
      <c r="AT335" s="80">
        <v>0</v>
      </c>
      <c r="AU335" s="80"/>
      <c r="AV335" s="80"/>
      <c r="AW335" s="80"/>
      <c r="AX335" s="80"/>
      <c r="AY335" s="80"/>
      <c r="AZ335" s="80"/>
      <c r="BA335" s="80"/>
      <c r="BB335" s="80"/>
      <c r="BC335">
        <v>1</v>
      </c>
      <c r="BD335" s="79" t="str">
        <f>REPLACE(INDEX(GroupVertices[Group],MATCH(Edges[[#This Row],[Vertex 1]],GroupVertices[Vertex],0)),1,1,"")</f>
        <v>2</v>
      </c>
      <c r="BE335" s="79" t="str">
        <f>REPLACE(INDEX(GroupVertices[Group],MATCH(Edges[[#This Row],[Vertex 2]],GroupVertices[Vertex],0)),1,1,"")</f>
        <v>2</v>
      </c>
      <c r="BF335" s="49">
        <v>0</v>
      </c>
      <c r="BG335" s="50">
        <v>0</v>
      </c>
      <c r="BH335" s="49">
        <v>0</v>
      </c>
      <c r="BI335" s="50">
        <v>0</v>
      </c>
      <c r="BJ335" s="49">
        <v>0</v>
      </c>
      <c r="BK335" s="50">
        <v>0</v>
      </c>
      <c r="BL335" s="49">
        <v>15</v>
      </c>
      <c r="BM335" s="50">
        <v>100</v>
      </c>
      <c r="BN335" s="49">
        <v>15</v>
      </c>
    </row>
    <row r="336" spans="1:66" ht="15">
      <c r="A336" s="65" t="s">
        <v>340</v>
      </c>
      <c r="B336" s="65" t="s">
        <v>340</v>
      </c>
      <c r="C336" s="66" t="s">
        <v>2815</v>
      </c>
      <c r="D336" s="67">
        <v>3</v>
      </c>
      <c r="E336" s="66" t="s">
        <v>132</v>
      </c>
      <c r="F336" s="69">
        <v>32</v>
      </c>
      <c r="G336" s="66"/>
      <c r="H336" s="70"/>
      <c r="I336" s="71"/>
      <c r="J336" s="71"/>
      <c r="K336" s="35" t="s">
        <v>65</v>
      </c>
      <c r="L336" s="72">
        <v>336</v>
      </c>
      <c r="M336" s="72"/>
      <c r="N336" s="73"/>
      <c r="O336" s="80" t="s">
        <v>196</v>
      </c>
      <c r="P336" s="82">
        <v>44480.65761574074</v>
      </c>
      <c r="Q336" s="80" t="s">
        <v>485</v>
      </c>
      <c r="R336" s="80"/>
      <c r="S336" s="80"/>
      <c r="T336" s="80"/>
      <c r="U336" s="80"/>
      <c r="V336" s="85" t="str">
        <f>HYPERLINK("https://pbs.twimg.com/profile_images/1447267260033224704/XlKckFsW_normal.jpg")</f>
        <v>https://pbs.twimg.com/profile_images/1447267260033224704/XlKckFsW_normal.jpg</v>
      </c>
      <c r="W336" s="82">
        <v>44480.65761574074</v>
      </c>
      <c r="X336" s="87">
        <v>44480</v>
      </c>
      <c r="Y336" s="83" t="s">
        <v>706</v>
      </c>
      <c r="Z336" s="85" t="str">
        <f>HYPERLINK("https://twitter.com/kobergcapital/status/1447589551120154628")</f>
        <v>https://twitter.com/kobergcapital/status/1447589551120154628</v>
      </c>
      <c r="AA336" s="80"/>
      <c r="AB336" s="80"/>
      <c r="AC336" s="83" t="s">
        <v>892</v>
      </c>
      <c r="AD336" s="83" t="s">
        <v>946</v>
      </c>
      <c r="AE336" s="80" t="b">
        <v>0</v>
      </c>
      <c r="AF336" s="80">
        <v>0</v>
      </c>
      <c r="AG336" s="83" t="s">
        <v>962</v>
      </c>
      <c r="AH336" s="80" t="b">
        <v>0</v>
      </c>
      <c r="AI336" s="80" t="s">
        <v>967</v>
      </c>
      <c r="AJ336" s="80"/>
      <c r="AK336" s="83" t="s">
        <v>952</v>
      </c>
      <c r="AL336" s="80" t="b">
        <v>0</v>
      </c>
      <c r="AM336" s="80">
        <v>0</v>
      </c>
      <c r="AN336" s="83" t="s">
        <v>952</v>
      </c>
      <c r="AO336" s="83" t="s">
        <v>972</v>
      </c>
      <c r="AP336" s="80" t="b">
        <v>0</v>
      </c>
      <c r="AQ336" s="83" t="s">
        <v>946</v>
      </c>
      <c r="AR336" s="80" t="s">
        <v>196</v>
      </c>
      <c r="AS336" s="80">
        <v>0</v>
      </c>
      <c r="AT336" s="80">
        <v>0</v>
      </c>
      <c r="AU336" s="80"/>
      <c r="AV336" s="80"/>
      <c r="AW336" s="80"/>
      <c r="AX336" s="80"/>
      <c r="AY336" s="80"/>
      <c r="AZ336" s="80"/>
      <c r="BA336" s="80"/>
      <c r="BB336" s="80"/>
      <c r="BC336">
        <v>1</v>
      </c>
      <c r="BD336" s="79" t="str">
        <f>REPLACE(INDEX(GroupVertices[Group],MATCH(Edges[[#This Row],[Vertex 1]],GroupVertices[Vertex],0)),1,1,"")</f>
        <v>2</v>
      </c>
      <c r="BE336" s="79" t="str">
        <f>REPLACE(INDEX(GroupVertices[Group],MATCH(Edges[[#This Row],[Vertex 2]],GroupVertices[Vertex],0)),1,1,"")</f>
        <v>2</v>
      </c>
      <c r="BF336" s="49">
        <v>4</v>
      </c>
      <c r="BG336" s="50">
        <v>11.764705882352942</v>
      </c>
      <c r="BH336" s="49">
        <v>0</v>
      </c>
      <c r="BI336" s="50">
        <v>0</v>
      </c>
      <c r="BJ336" s="49">
        <v>0</v>
      </c>
      <c r="BK336" s="50">
        <v>0</v>
      </c>
      <c r="BL336" s="49">
        <v>30</v>
      </c>
      <c r="BM336" s="50">
        <v>88.23529411764706</v>
      </c>
      <c r="BN336" s="49">
        <v>34</v>
      </c>
    </row>
    <row r="337" spans="1:66" ht="15">
      <c r="A337" s="65" t="s">
        <v>341</v>
      </c>
      <c r="B337" s="65" t="s">
        <v>396</v>
      </c>
      <c r="C337" s="66" t="s">
        <v>2815</v>
      </c>
      <c r="D337" s="67">
        <v>3</v>
      </c>
      <c r="E337" s="66" t="s">
        <v>132</v>
      </c>
      <c r="F337" s="69">
        <v>32</v>
      </c>
      <c r="G337" s="66"/>
      <c r="H337" s="70"/>
      <c r="I337" s="71"/>
      <c r="J337" s="71"/>
      <c r="K337" s="35" t="s">
        <v>65</v>
      </c>
      <c r="L337" s="72">
        <v>337</v>
      </c>
      <c r="M337" s="72"/>
      <c r="N337" s="73"/>
      <c r="O337" s="80" t="s">
        <v>406</v>
      </c>
      <c r="P337" s="82">
        <v>44474.95949074074</v>
      </c>
      <c r="Q337" s="80" t="s">
        <v>486</v>
      </c>
      <c r="R337"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37" s="80" t="s">
        <v>535</v>
      </c>
      <c r="T337" s="80"/>
      <c r="U337" s="80"/>
      <c r="V337" s="85" t="str">
        <f>HYPERLINK("https://pbs.twimg.com/profile_images/879700936704315392/WxI5eCW5_normal.jpg")</f>
        <v>https://pbs.twimg.com/profile_images/879700936704315392/WxI5eCW5_normal.jpg</v>
      </c>
      <c r="W337" s="82">
        <v>44474.95949074074</v>
      </c>
      <c r="X337" s="87">
        <v>44474</v>
      </c>
      <c r="Y337" s="83" t="s">
        <v>707</v>
      </c>
      <c r="Z337" s="85" t="str">
        <f>HYPERLINK("https://twitter.com/economistpods/status/1445524618702327811")</f>
        <v>https://twitter.com/economistpods/status/1445524618702327811</v>
      </c>
      <c r="AA337" s="80"/>
      <c r="AB337" s="80"/>
      <c r="AC337" s="83" t="s">
        <v>893</v>
      </c>
      <c r="AD337" s="80"/>
      <c r="AE337" s="80" t="b">
        <v>0</v>
      </c>
      <c r="AF337" s="80">
        <v>0</v>
      </c>
      <c r="AG337" s="83" t="s">
        <v>952</v>
      </c>
      <c r="AH337" s="80" t="b">
        <v>0</v>
      </c>
      <c r="AI337" s="80" t="s">
        <v>967</v>
      </c>
      <c r="AJ337" s="80"/>
      <c r="AK337" s="83" t="s">
        <v>952</v>
      </c>
      <c r="AL337" s="80" t="b">
        <v>0</v>
      </c>
      <c r="AM337" s="80">
        <v>0</v>
      </c>
      <c r="AN337" s="83" t="s">
        <v>952</v>
      </c>
      <c r="AO337" s="83" t="s">
        <v>990</v>
      </c>
      <c r="AP337" s="80" t="b">
        <v>0</v>
      </c>
      <c r="AQ337" s="83" t="s">
        <v>893</v>
      </c>
      <c r="AR337" s="80" t="s">
        <v>196</v>
      </c>
      <c r="AS337" s="80">
        <v>0</v>
      </c>
      <c r="AT337" s="80">
        <v>0</v>
      </c>
      <c r="AU337" s="80"/>
      <c r="AV337" s="80"/>
      <c r="AW337" s="80"/>
      <c r="AX337" s="80"/>
      <c r="AY337" s="80"/>
      <c r="AZ337" s="80"/>
      <c r="BA337" s="80"/>
      <c r="BB337" s="80"/>
      <c r="BC337">
        <v>1</v>
      </c>
      <c r="BD337" s="79" t="str">
        <f>REPLACE(INDEX(GroupVertices[Group],MATCH(Edges[[#This Row],[Vertex 1]],GroupVertices[Vertex],0)),1,1,"")</f>
        <v>1</v>
      </c>
      <c r="BE337" s="79" t="str">
        <f>REPLACE(INDEX(GroupVertices[Group],MATCH(Edges[[#This Row],[Vertex 2]],GroupVertices[Vertex],0)),1,1,"")</f>
        <v>1</v>
      </c>
      <c r="BF337" s="49">
        <v>0</v>
      </c>
      <c r="BG337" s="50">
        <v>0</v>
      </c>
      <c r="BH337" s="49">
        <v>0</v>
      </c>
      <c r="BI337" s="50">
        <v>0</v>
      </c>
      <c r="BJ337" s="49">
        <v>0</v>
      </c>
      <c r="BK337" s="50">
        <v>0</v>
      </c>
      <c r="BL337" s="49">
        <v>34</v>
      </c>
      <c r="BM337" s="50">
        <v>100</v>
      </c>
      <c r="BN337" s="49">
        <v>34</v>
      </c>
    </row>
    <row r="338" spans="1:66" ht="15">
      <c r="A338" s="65" t="s">
        <v>331</v>
      </c>
      <c r="B338" s="65" t="s">
        <v>377</v>
      </c>
      <c r="C338" s="66" t="s">
        <v>2815</v>
      </c>
      <c r="D338" s="67">
        <v>3</v>
      </c>
      <c r="E338" s="66" t="s">
        <v>132</v>
      </c>
      <c r="F338" s="69">
        <v>32</v>
      </c>
      <c r="G338" s="66"/>
      <c r="H338" s="70"/>
      <c r="I338" s="71"/>
      <c r="J338" s="71"/>
      <c r="K338" s="35" t="s">
        <v>65</v>
      </c>
      <c r="L338" s="72">
        <v>338</v>
      </c>
      <c r="M338" s="72"/>
      <c r="N338" s="73"/>
      <c r="O338" s="80" t="s">
        <v>407</v>
      </c>
      <c r="P338" s="82">
        <v>44477.46878472222</v>
      </c>
      <c r="Q338" s="80" t="s">
        <v>470</v>
      </c>
      <c r="R338" s="85" t="str">
        <f>HYPERLINK("https://econ.trib.al/AoNqILv")</f>
        <v>https://econ.trib.al/AoNqILv</v>
      </c>
      <c r="S338" s="80" t="s">
        <v>528</v>
      </c>
      <c r="T338" s="80"/>
      <c r="U338" s="80"/>
      <c r="V338" s="85" t="str">
        <f>HYPERLINK("https://pbs.twimg.com/profile_images/1413053667930951680/NpQOcSDf_normal.jpg")</f>
        <v>https://pbs.twimg.com/profile_images/1413053667930951680/NpQOcSDf_normal.jpg</v>
      </c>
      <c r="W338" s="82">
        <v>44477.46878472222</v>
      </c>
      <c r="X338" s="87">
        <v>44477</v>
      </c>
      <c r="Y338" s="83" t="s">
        <v>682</v>
      </c>
      <c r="Z338" s="85" t="str">
        <f>HYPERLINK("https://twitter.com/grownunder/status/1446433955465646114")</f>
        <v>https://twitter.com/grownunder/status/1446433955465646114</v>
      </c>
      <c r="AA338" s="80"/>
      <c r="AB338" s="80"/>
      <c r="AC338" s="83" t="s">
        <v>865</v>
      </c>
      <c r="AD338" s="80"/>
      <c r="AE338" s="80" t="b">
        <v>0</v>
      </c>
      <c r="AF338" s="80">
        <v>0</v>
      </c>
      <c r="AG338" s="83" t="s">
        <v>952</v>
      </c>
      <c r="AH338" s="80" t="b">
        <v>0</v>
      </c>
      <c r="AI338" s="80" t="s">
        <v>967</v>
      </c>
      <c r="AJ338" s="80"/>
      <c r="AK338" s="83" t="s">
        <v>952</v>
      </c>
      <c r="AL338" s="80" t="b">
        <v>0</v>
      </c>
      <c r="AM338" s="80">
        <v>2</v>
      </c>
      <c r="AN338" s="83" t="s">
        <v>868</v>
      </c>
      <c r="AO338" s="83" t="s">
        <v>979</v>
      </c>
      <c r="AP338" s="80" t="b">
        <v>0</v>
      </c>
      <c r="AQ338" s="83" t="s">
        <v>868</v>
      </c>
      <c r="AR338" s="80" t="s">
        <v>196</v>
      </c>
      <c r="AS338" s="80">
        <v>0</v>
      </c>
      <c r="AT338" s="80">
        <v>0</v>
      </c>
      <c r="AU338" s="80"/>
      <c r="AV338" s="80"/>
      <c r="AW338" s="80"/>
      <c r="AX338" s="80"/>
      <c r="AY338" s="80"/>
      <c r="AZ338" s="80"/>
      <c r="BA338" s="80"/>
      <c r="BB338" s="80"/>
      <c r="BC338">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342</v>
      </c>
      <c r="B339" s="65" t="s">
        <v>377</v>
      </c>
      <c r="C339" s="66" t="s">
        <v>2818</v>
      </c>
      <c r="D339" s="67">
        <v>10</v>
      </c>
      <c r="E339" s="66" t="s">
        <v>136</v>
      </c>
      <c r="F339" s="69">
        <v>25.5</v>
      </c>
      <c r="G339" s="66"/>
      <c r="H339" s="70"/>
      <c r="I339" s="71"/>
      <c r="J339" s="71"/>
      <c r="K339" s="35" t="s">
        <v>65</v>
      </c>
      <c r="L339" s="72">
        <v>339</v>
      </c>
      <c r="M339" s="72"/>
      <c r="N339" s="73"/>
      <c r="O339" s="80" t="s">
        <v>406</v>
      </c>
      <c r="P339" s="82">
        <v>44476.41684027778</v>
      </c>
      <c r="Q339" s="80" t="s">
        <v>432</v>
      </c>
      <c r="R339" s="85" t="str">
        <f>HYPERLINK("https://econ.trib.al/UuLdSAj")</f>
        <v>https://econ.trib.al/UuLdSAj</v>
      </c>
      <c r="S339" s="80" t="s">
        <v>528</v>
      </c>
      <c r="T339" s="80"/>
      <c r="U339" s="80"/>
      <c r="V339" s="85" t="str">
        <f>HYPERLINK("https://pbs.twimg.com/profile_images/879361767914262528/HdRauDM-_normal.jpg")</f>
        <v>https://pbs.twimg.com/profile_images/879361767914262528/HdRauDM-_normal.jpg</v>
      </c>
      <c r="W339" s="82">
        <v>44476.41684027778</v>
      </c>
      <c r="X339" s="87">
        <v>44476</v>
      </c>
      <c r="Y339" s="83" t="s">
        <v>708</v>
      </c>
      <c r="Z339" s="85" t="str">
        <f>HYPERLINK("https://twitter.com/theeconomist/status/1446052745350365184")</f>
        <v>https://twitter.com/theeconomist/status/1446052745350365184</v>
      </c>
      <c r="AA339" s="80"/>
      <c r="AB339" s="80"/>
      <c r="AC339" s="83" t="s">
        <v>894</v>
      </c>
      <c r="AD339" s="80"/>
      <c r="AE339" s="80" t="b">
        <v>0</v>
      </c>
      <c r="AF339" s="80">
        <v>24</v>
      </c>
      <c r="AG339" s="83" t="s">
        <v>952</v>
      </c>
      <c r="AH339" s="80" t="b">
        <v>0</v>
      </c>
      <c r="AI339" s="80" t="s">
        <v>967</v>
      </c>
      <c r="AJ339" s="80"/>
      <c r="AK339" s="83" t="s">
        <v>952</v>
      </c>
      <c r="AL339" s="80" t="b">
        <v>0</v>
      </c>
      <c r="AM339" s="80">
        <v>11</v>
      </c>
      <c r="AN339" s="83" t="s">
        <v>952</v>
      </c>
      <c r="AO339" s="83" t="s">
        <v>990</v>
      </c>
      <c r="AP339" s="80" t="b">
        <v>0</v>
      </c>
      <c r="AQ339" s="83" t="s">
        <v>894</v>
      </c>
      <c r="AR339" s="80" t="s">
        <v>196</v>
      </c>
      <c r="AS339" s="80">
        <v>0</v>
      </c>
      <c r="AT339" s="80">
        <v>0</v>
      </c>
      <c r="AU339" s="80"/>
      <c r="AV339" s="80"/>
      <c r="AW339" s="80"/>
      <c r="AX339" s="80"/>
      <c r="AY339" s="80"/>
      <c r="AZ339" s="80"/>
      <c r="BA339" s="80"/>
      <c r="BB339" s="80"/>
      <c r="BC339">
        <v>3</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342</v>
      </c>
      <c r="B340" s="65" t="s">
        <v>377</v>
      </c>
      <c r="C340" s="66" t="s">
        <v>2818</v>
      </c>
      <c r="D340" s="67">
        <v>10</v>
      </c>
      <c r="E340" s="66" t="s">
        <v>136</v>
      </c>
      <c r="F340" s="69">
        <v>25.5</v>
      </c>
      <c r="G340" s="66"/>
      <c r="H340" s="70"/>
      <c r="I340" s="71"/>
      <c r="J340" s="71"/>
      <c r="K340" s="35" t="s">
        <v>65</v>
      </c>
      <c r="L340" s="72">
        <v>340</v>
      </c>
      <c r="M340" s="72"/>
      <c r="N340" s="73"/>
      <c r="O340" s="80" t="s">
        <v>406</v>
      </c>
      <c r="P340" s="82">
        <v>44478.16677083333</v>
      </c>
      <c r="Q340" s="80" t="s">
        <v>452</v>
      </c>
      <c r="R340" s="85" t="str">
        <f>HYPERLINK("https://econ.trib.al/B6siniM")</f>
        <v>https://econ.trib.al/B6siniM</v>
      </c>
      <c r="S340" s="80" t="s">
        <v>528</v>
      </c>
      <c r="T340" s="80"/>
      <c r="U340" s="80"/>
      <c r="V340" s="85" t="str">
        <f>HYPERLINK("https://pbs.twimg.com/profile_images/879361767914262528/HdRauDM-_normal.jpg")</f>
        <v>https://pbs.twimg.com/profile_images/879361767914262528/HdRauDM-_normal.jpg</v>
      </c>
      <c r="W340" s="82">
        <v>44478.16677083333</v>
      </c>
      <c r="X340" s="87">
        <v>44478</v>
      </c>
      <c r="Y340" s="83" t="s">
        <v>709</v>
      </c>
      <c r="Z340" s="85" t="str">
        <f>HYPERLINK("https://twitter.com/theeconomist/status/1446686897695305740")</f>
        <v>https://twitter.com/theeconomist/status/1446686897695305740</v>
      </c>
      <c r="AA340" s="80"/>
      <c r="AB340" s="80"/>
      <c r="AC340" s="83" t="s">
        <v>895</v>
      </c>
      <c r="AD340" s="80"/>
      <c r="AE340" s="80" t="b">
        <v>0</v>
      </c>
      <c r="AF340" s="80">
        <v>28</v>
      </c>
      <c r="AG340" s="83" t="s">
        <v>952</v>
      </c>
      <c r="AH340" s="80" t="b">
        <v>0</v>
      </c>
      <c r="AI340" s="80" t="s">
        <v>967</v>
      </c>
      <c r="AJ340" s="80"/>
      <c r="AK340" s="83" t="s">
        <v>952</v>
      </c>
      <c r="AL340" s="80" t="b">
        <v>0</v>
      </c>
      <c r="AM340" s="80">
        <v>12</v>
      </c>
      <c r="AN340" s="83" t="s">
        <v>952</v>
      </c>
      <c r="AO340" s="83" t="s">
        <v>990</v>
      </c>
      <c r="AP340" s="80" t="b">
        <v>0</v>
      </c>
      <c r="AQ340" s="83" t="s">
        <v>895</v>
      </c>
      <c r="AR340" s="80" t="s">
        <v>196</v>
      </c>
      <c r="AS340" s="80">
        <v>0</v>
      </c>
      <c r="AT340" s="80">
        <v>0</v>
      </c>
      <c r="AU340" s="80"/>
      <c r="AV340" s="80"/>
      <c r="AW340" s="80"/>
      <c r="AX340" s="80"/>
      <c r="AY340" s="80"/>
      <c r="AZ340" s="80"/>
      <c r="BA340" s="80"/>
      <c r="BB340" s="80"/>
      <c r="BC340">
        <v>3</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342</v>
      </c>
      <c r="B341" s="65" t="s">
        <v>377</v>
      </c>
      <c r="C341" s="66" t="s">
        <v>2818</v>
      </c>
      <c r="D341" s="67">
        <v>10</v>
      </c>
      <c r="E341" s="66" t="s">
        <v>136</v>
      </c>
      <c r="F341" s="69">
        <v>25.5</v>
      </c>
      <c r="G341" s="66"/>
      <c r="H341" s="70"/>
      <c r="I341" s="71"/>
      <c r="J341" s="71"/>
      <c r="K341" s="35" t="s">
        <v>65</v>
      </c>
      <c r="L341" s="72">
        <v>341</v>
      </c>
      <c r="M341" s="72"/>
      <c r="N341" s="73"/>
      <c r="O341" s="80" t="s">
        <v>406</v>
      </c>
      <c r="P341" s="82">
        <v>44480.16668981482</v>
      </c>
      <c r="Q341" s="80" t="s">
        <v>468</v>
      </c>
      <c r="R341" s="85" t="str">
        <f>HYPERLINK("https://econ.trib.al/w1YeE88")</f>
        <v>https://econ.trib.al/w1YeE88</v>
      </c>
      <c r="S341" s="80" t="s">
        <v>528</v>
      </c>
      <c r="T341" s="80"/>
      <c r="U341" s="80"/>
      <c r="V341" s="85" t="str">
        <f>HYPERLINK("https://pbs.twimg.com/profile_images/879361767914262528/HdRauDM-_normal.jpg")</f>
        <v>https://pbs.twimg.com/profile_images/879361767914262528/HdRauDM-_normal.jpg</v>
      </c>
      <c r="W341" s="82">
        <v>44480.16668981482</v>
      </c>
      <c r="X341" s="87">
        <v>44480</v>
      </c>
      <c r="Y341" s="83" t="s">
        <v>710</v>
      </c>
      <c r="Z341" s="85" t="str">
        <f>HYPERLINK("https://twitter.com/theeconomist/status/1447411644942929923")</f>
        <v>https://twitter.com/theeconomist/status/1447411644942929923</v>
      </c>
      <c r="AA341" s="80"/>
      <c r="AB341" s="80"/>
      <c r="AC341" s="83" t="s">
        <v>896</v>
      </c>
      <c r="AD341" s="80"/>
      <c r="AE341" s="80" t="b">
        <v>0</v>
      </c>
      <c r="AF341" s="80">
        <v>32</v>
      </c>
      <c r="AG341" s="83" t="s">
        <v>952</v>
      </c>
      <c r="AH341" s="80" t="b">
        <v>0</v>
      </c>
      <c r="AI341" s="80" t="s">
        <v>967</v>
      </c>
      <c r="AJ341" s="80"/>
      <c r="AK341" s="83" t="s">
        <v>952</v>
      </c>
      <c r="AL341" s="80" t="b">
        <v>0</v>
      </c>
      <c r="AM341" s="80">
        <v>10</v>
      </c>
      <c r="AN341" s="83" t="s">
        <v>952</v>
      </c>
      <c r="AO341" s="83" t="s">
        <v>990</v>
      </c>
      <c r="AP341" s="80" t="b">
        <v>0</v>
      </c>
      <c r="AQ341" s="83" t="s">
        <v>896</v>
      </c>
      <c r="AR341" s="80" t="s">
        <v>196</v>
      </c>
      <c r="AS341" s="80">
        <v>0</v>
      </c>
      <c r="AT341" s="80">
        <v>0</v>
      </c>
      <c r="AU341" s="80"/>
      <c r="AV341" s="80"/>
      <c r="AW341" s="80"/>
      <c r="AX341" s="80"/>
      <c r="AY341" s="80"/>
      <c r="AZ341" s="80"/>
      <c r="BA341" s="80"/>
      <c r="BB341" s="80"/>
      <c r="BC341">
        <v>3</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341</v>
      </c>
      <c r="B342" s="65" t="s">
        <v>377</v>
      </c>
      <c r="C342" s="66" t="s">
        <v>2817</v>
      </c>
      <c r="D342" s="67">
        <v>10</v>
      </c>
      <c r="E342" s="66" t="s">
        <v>136</v>
      </c>
      <c r="F342" s="69">
        <v>15.75</v>
      </c>
      <c r="G342" s="66"/>
      <c r="H342" s="70"/>
      <c r="I342" s="71"/>
      <c r="J342" s="71"/>
      <c r="K342" s="35" t="s">
        <v>65</v>
      </c>
      <c r="L342" s="72">
        <v>342</v>
      </c>
      <c r="M342" s="72"/>
      <c r="N342" s="73"/>
      <c r="O342" s="80" t="s">
        <v>406</v>
      </c>
      <c r="P342" s="82">
        <v>44475.9591087963</v>
      </c>
      <c r="Q342" s="80" t="s">
        <v>487</v>
      </c>
      <c r="R342"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42" s="80" t="s">
        <v>535</v>
      </c>
      <c r="T342" s="80"/>
      <c r="U342" s="80"/>
      <c r="V342" s="85" t="str">
        <f>HYPERLINK("https://pbs.twimg.com/profile_images/879700936704315392/WxI5eCW5_normal.jpg")</f>
        <v>https://pbs.twimg.com/profile_images/879700936704315392/WxI5eCW5_normal.jpg</v>
      </c>
      <c r="W342" s="82">
        <v>44475.9591087963</v>
      </c>
      <c r="X342" s="87">
        <v>44475</v>
      </c>
      <c r="Y342" s="83" t="s">
        <v>711</v>
      </c>
      <c r="Z342" s="85" t="str">
        <f>HYPERLINK("https://twitter.com/economistpods/status/1445886868562796545")</f>
        <v>https://twitter.com/economistpods/status/1445886868562796545</v>
      </c>
      <c r="AA342" s="80"/>
      <c r="AB342" s="80"/>
      <c r="AC342" s="83" t="s">
        <v>897</v>
      </c>
      <c r="AD342" s="80"/>
      <c r="AE342" s="80" t="b">
        <v>0</v>
      </c>
      <c r="AF342" s="80">
        <v>0</v>
      </c>
      <c r="AG342" s="83" t="s">
        <v>952</v>
      </c>
      <c r="AH342" s="80" t="b">
        <v>0</v>
      </c>
      <c r="AI342" s="80" t="s">
        <v>967</v>
      </c>
      <c r="AJ342" s="80"/>
      <c r="AK342" s="83" t="s">
        <v>952</v>
      </c>
      <c r="AL342" s="80" t="b">
        <v>0</v>
      </c>
      <c r="AM342" s="80">
        <v>0</v>
      </c>
      <c r="AN342" s="83" t="s">
        <v>952</v>
      </c>
      <c r="AO342" s="83" t="s">
        <v>990</v>
      </c>
      <c r="AP342" s="80" t="b">
        <v>0</v>
      </c>
      <c r="AQ342" s="83" t="s">
        <v>897</v>
      </c>
      <c r="AR342" s="80" t="s">
        <v>196</v>
      </c>
      <c r="AS342" s="80">
        <v>0</v>
      </c>
      <c r="AT342" s="80">
        <v>0</v>
      </c>
      <c r="AU342" s="80"/>
      <c r="AV342" s="80"/>
      <c r="AW342" s="80"/>
      <c r="AX342" s="80"/>
      <c r="AY342" s="80"/>
      <c r="AZ342" s="80"/>
      <c r="BA342" s="80"/>
      <c r="BB342" s="80"/>
      <c r="BC342">
        <v>6</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341</v>
      </c>
      <c r="B343" s="65" t="s">
        <v>377</v>
      </c>
      <c r="C343" s="66" t="s">
        <v>2817</v>
      </c>
      <c r="D343" s="67">
        <v>10</v>
      </c>
      <c r="E343" s="66" t="s">
        <v>136</v>
      </c>
      <c r="F343" s="69">
        <v>15.75</v>
      </c>
      <c r="G343" s="66"/>
      <c r="H343" s="70"/>
      <c r="I343" s="71"/>
      <c r="J343" s="71"/>
      <c r="K343" s="35" t="s">
        <v>65</v>
      </c>
      <c r="L343" s="72">
        <v>343</v>
      </c>
      <c r="M343" s="72"/>
      <c r="N343" s="73"/>
      <c r="O343" s="80" t="s">
        <v>406</v>
      </c>
      <c r="P343" s="82">
        <v>44476.959074074075</v>
      </c>
      <c r="Q343" s="80" t="s">
        <v>481</v>
      </c>
      <c r="R343"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43" s="80" t="s">
        <v>535</v>
      </c>
      <c r="T343" s="80"/>
      <c r="U343" s="80"/>
      <c r="V343" s="85" t="str">
        <f>HYPERLINK("https://pbs.twimg.com/profile_images/879700936704315392/WxI5eCW5_normal.jpg")</f>
        <v>https://pbs.twimg.com/profile_images/879700936704315392/WxI5eCW5_normal.jpg</v>
      </c>
      <c r="W343" s="82">
        <v>44476.959074074075</v>
      </c>
      <c r="X343" s="87">
        <v>44476</v>
      </c>
      <c r="Y343" s="83" t="s">
        <v>712</v>
      </c>
      <c r="Z343" s="85" t="str">
        <f>HYPERLINK("https://twitter.com/economistpods/status/1446249242553630728")</f>
        <v>https://twitter.com/economistpods/status/1446249242553630728</v>
      </c>
      <c r="AA343" s="80"/>
      <c r="AB343" s="80"/>
      <c r="AC343" s="83" t="s">
        <v>898</v>
      </c>
      <c r="AD343" s="80"/>
      <c r="AE343" s="80" t="b">
        <v>0</v>
      </c>
      <c r="AF343" s="80">
        <v>1</v>
      </c>
      <c r="AG343" s="83" t="s">
        <v>952</v>
      </c>
      <c r="AH343" s="80" t="b">
        <v>0</v>
      </c>
      <c r="AI343" s="80" t="s">
        <v>967</v>
      </c>
      <c r="AJ343" s="80"/>
      <c r="AK343" s="83" t="s">
        <v>952</v>
      </c>
      <c r="AL343" s="80" t="b">
        <v>0</v>
      </c>
      <c r="AM343" s="80">
        <v>1</v>
      </c>
      <c r="AN343" s="83" t="s">
        <v>952</v>
      </c>
      <c r="AO343" s="83" t="s">
        <v>990</v>
      </c>
      <c r="AP343" s="80" t="b">
        <v>0</v>
      </c>
      <c r="AQ343" s="83" t="s">
        <v>898</v>
      </c>
      <c r="AR343" s="80" t="s">
        <v>196</v>
      </c>
      <c r="AS343" s="80">
        <v>0</v>
      </c>
      <c r="AT343" s="80">
        <v>0</v>
      </c>
      <c r="AU343" s="80"/>
      <c r="AV343" s="80"/>
      <c r="AW343" s="80"/>
      <c r="AX343" s="80"/>
      <c r="AY343" s="80"/>
      <c r="AZ343" s="80"/>
      <c r="BA343" s="80"/>
      <c r="BB343" s="80"/>
      <c r="BC343">
        <v>6</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341</v>
      </c>
      <c r="B344" s="65" t="s">
        <v>377</v>
      </c>
      <c r="C344" s="66" t="s">
        <v>2817</v>
      </c>
      <c r="D344" s="67">
        <v>10</v>
      </c>
      <c r="E344" s="66" t="s">
        <v>136</v>
      </c>
      <c r="F344" s="69">
        <v>15.75</v>
      </c>
      <c r="G344" s="66"/>
      <c r="H344" s="70"/>
      <c r="I344" s="71"/>
      <c r="J344" s="71"/>
      <c r="K344" s="35" t="s">
        <v>65</v>
      </c>
      <c r="L344" s="72">
        <v>344</v>
      </c>
      <c r="M344" s="72"/>
      <c r="N344" s="73"/>
      <c r="O344" s="80" t="s">
        <v>406</v>
      </c>
      <c r="P344" s="82">
        <v>44477.9590625</v>
      </c>
      <c r="Q344" s="80" t="s">
        <v>488</v>
      </c>
      <c r="R344"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44" s="80" t="s">
        <v>535</v>
      </c>
      <c r="T344" s="80"/>
      <c r="U344" s="80"/>
      <c r="V344" s="85" t="str">
        <f>HYPERLINK("https://pbs.twimg.com/profile_images/879700936704315392/WxI5eCW5_normal.jpg")</f>
        <v>https://pbs.twimg.com/profile_images/879700936704315392/WxI5eCW5_normal.jpg</v>
      </c>
      <c r="W344" s="82">
        <v>44477.9590625</v>
      </c>
      <c r="X344" s="87">
        <v>44477</v>
      </c>
      <c r="Y344" s="83" t="s">
        <v>713</v>
      </c>
      <c r="Z344" s="85" t="str">
        <f>HYPERLINK("https://twitter.com/economistpods/status/1446611629827936259")</f>
        <v>https://twitter.com/economistpods/status/1446611629827936259</v>
      </c>
      <c r="AA344" s="80"/>
      <c r="AB344" s="80"/>
      <c r="AC344" s="83" t="s">
        <v>899</v>
      </c>
      <c r="AD344" s="80"/>
      <c r="AE344" s="80" t="b">
        <v>0</v>
      </c>
      <c r="AF344" s="80">
        <v>0</v>
      </c>
      <c r="AG344" s="83" t="s">
        <v>952</v>
      </c>
      <c r="AH344" s="80" t="b">
        <v>0</v>
      </c>
      <c r="AI344" s="80" t="s">
        <v>967</v>
      </c>
      <c r="AJ344" s="80"/>
      <c r="AK344" s="83" t="s">
        <v>952</v>
      </c>
      <c r="AL344" s="80" t="b">
        <v>0</v>
      </c>
      <c r="AM344" s="80">
        <v>0</v>
      </c>
      <c r="AN344" s="83" t="s">
        <v>952</v>
      </c>
      <c r="AO344" s="83" t="s">
        <v>990</v>
      </c>
      <c r="AP344" s="80" t="b">
        <v>0</v>
      </c>
      <c r="AQ344" s="83" t="s">
        <v>899</v>
      </c>
      <c r="AR344" s="80" t="s">
        <v>196</v>
      </c>
      <c r="AS344" s="80">
        <v>0</v>
      </c>
      <c r="AT344" s="80">
        <v>0</v>
      </c>
      <c r="AU344" s="80"/>
      <c r="AV344" s="80"/>
      <c r="AW344" s="80"/>
      <c r="AX344" s="80"/>
      <c r="AY344" s="80"/>
      <c r="AZ344" s="80"/>
      <c r="BA344" s="80"/>
      <c r="BB344" s="80"/>
      <c r="BC344">
        <v>6</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341</v>
      </c>
      <c r="B345" s="65" t="s">
        <v>377</v>
      </c>
      <c r="C345" s="66" t="s">
        <v>2817</v>
      </c>
      <c r="D345" s="67">
        <v>10</v>
      </c>
      <c r="E345" s="66" t="s">
        <v>136</v>
      </c>
      <c r="F345" s="69">
        <v>15.75</v>
      </c>
      <c r="G345" s="66"/>
      <c r="H345" s="70"/>
      <c r="I345" s="71"/>
      <c r="J345" s="71"/>
      <c r="K345" s="35" t="s">
        <v>65</v>
      </c>
      <c r="L345" s="72">
        <v>345</v>
      </c>
      <c r="M345" s="72"/>
      <c r="N345" s="73"/>
      <c r="O345" s="80" t="s">
        <v>406</v>
      </c>
      <c r="P345" s="82">
        <v>44478.9591087963</v>
      </c>
      <c r="Q345" s="80" t="s">
        <v>455</v>
      </c>
      <c r="R345"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45" s="80" t="s">
        <v>535</v>
      </c>
      <c r="T345" s="80"/>
      <c r="U345" s="80"/>
      <c r="V345" s="85" t="str">
        <f>HYPERLINK("https://pbs.twimg.com/profile_images/879700936704315392/WxI5eCW5_normal.jpg")</f>
        <v>https://pbs.twimg.com/profile_images/879700936704315392/WxI5eCW5_normal.jpg</v>
      </c>
      <c r="W345" s="82">
        <v>44478.9591087963</v>
      </c>
      <c r="X345" s="87">
        <v>44478</v>
      </c>
      <c r="Y345" s="83" t="s">
        <v>711</v>
      </c>
      <c r="Z345" s="85" t="str">
        <f>HYPERLINK("https://twitter.com/economistpods/status/1446974031413092360")</f>
        <v>https://twitter.com/economistpods/status/1446974031413092360</v>
      </c>
      <c r="AA345" s="80"/>
      <c r="AB345" s="80"/>
      <c r="AC345" s="83" t="s">
        <v>900</v>
      </c>
      <c r="AD345" s="80"/>
      <c r="AE345" s="80" t="b">
        <v>0</v>
      </c>
      <c r="AF345" s="80">
        <v>0</v>
      </c>
      <c r="AG345" s="83" t="s">
        <v>952</v>
      </c>
      <c r="AH345" s="80" t="b">
        <v>0</v>
      </c>
      <c r="AI345" s="80" t="s">
        <v>967</v>
      </c>
      <c r="AJ345" s="80"/>
      <c r="AK345" s="83" t="s">
        <v>952</v>
      </c>
      <c r="AL345" s="80" t="b">
        <v>0</v>
      </c>
      <c r="AM345" s="80">
        <v>1</v>
      </c>
      <c r="AN345" s="83" t="s">
        <v>952</v>
      </c>
      <c r="AO345" s="83" t="s">
        <v>990</v>
      </c>
      <c r="AP345" s="80" t="b">
        <v>0</v>
      </c>
      <c r="AQ345" s="83" t="s">
        <v>900</v>
      </c>
      <c r="AR345" s="80" t="s">
        <v>196</v>
      </c>
      <c r="AS345" s="80">
        <v>0</v>
      </c>
      <c r="AT345" s="80">
        <v>0</v>
      </c>
      <c r="AU345" s="80"/>
      <c r="AV345" s="80"/>
      <c r="AW345" s="80"/>
      <c r="AX345" s="80"/>
      <c r="AY345" s="80"/>
      <c r="AZ345" s="80"/>
      <c r="BA345" s="80"/>
      <c r="BB345" s="80"/>
      <c r="BC345">
        <v>6</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341</v>
      </c>
      <c r="B346" s="65" t="s">
        <v>377</v>
      </c>
      <c r="C346" s="66" t="s">
        <v>2817</v>
      </c>
      <c r="D346" s="67">
        <v>10</v>
      </c>
      <c r="E346" s="66" t="s">
        <v>136</v>
      </c>
      <c r="F346" s="69">
        <v>15.75</v>
      </c>
      <c r="G346" s="66"/>
      <c r="H346" s="70"/>
      <c r="I346" s="71"/>
      <c r="J346" s="71"/>
      <c r="K346" s="35" t="s">
        <v>65</v>
      </c>
      <c r="L346" s="72">
        <v>346</v>
      </c>
      <c r="M346" s="72"/>
      <c r="N346" s="73"/>
      <c r="O346" s="80" t="s">
        <v>406</v>
      </c>
      <c r="P346" s="82">
        <v>44479.95909722222</v>
      </c>
      <c r="Q346" s="80" t="s">
        <v>489</v>
      </c>
      <c r="R346"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46" s="80" t="s">
        <v>535</v>
      </c>
      <c r="T346" s="80"/>
      <c r="U346" s="80"/>
      <c r="V346" s="85" t="str">
        <f>HYPERLINK("https://pbs.twimg.com/profile_images/879700936704315392/WxI5eCW5_normal.jpg")</f>
        <v>https://pbs.twimg.com/profile_images/879700936704315392/WxI5eCW5_normal.jpg</v>
      </c>
      <c r="W346" s="82">
        <v>44479.95909722222</v>
      </c>
      <c r="X346" s="87">
        <v>44479</v>
      </c>
      <c r="Y346" s="83" t="s">
        <v>714</v>
      </c>
      <c r="Z346" s="85" t="str">
        <f>HYPERLINK("https://twitter.com/economistpods/status/1447336418074931203")</f>
        <v>https://twitter.com/economistpods/status/1447336418074931203</v>
      </c>
      <c r="AA346" s="80"/>
      <c r="AB346" s="80"/>
      <c r="AC346" s="83" t="s">
        <v>901</v>
      </c>
      <c r="AD346" s="80"/>
      <c r="AE346" s="80" t="b">
        <v>0</v>
      </c>
      <c r="AF346" s="80">
        <v>0</v>
      </c>
      <c r="AG346" s="83" t="s">
        <v>952</v>
      </c>
      <c r="AH346" s="80" t="b">
        <v>0</v>
      </c>
      <c r="AI346" s="80" t="s">
        <v>967</v>
      </c>
      <c r="AJ346" s="80"/>
      <c r="AK346" s="83" t="s">
        <v>952</v>
      </c>
      <c r="AL346" s="80" t="b">
        <v>0</v>
      </c>
      <c r="AM346" s="80">
        <v>0</v>
      </c>
      <c r="AN346" s="83" t="s">
        <v>952</v>
      </c>
      <c r="AO346" s="83" t="s">
        <v>990</v>
      </c>
      <c r="AP346" s="80" t="b">
        <v>0</v>
      </c>
      <c r="AQ346" s="83" t="s">
        <v>901</v>
      </c>
      <c r="AR346" s="80" t="s">
        <v>196</v>
      </c>
      <c r="AS346" s="80">
        <v>0</v>
      </c>
      <c r="AT346" s="80">
        <v>0</v>
      </c>
      <c r="AU346" s="80"/>
      <c r="AV346" s="80"/>
      <c r="AW346" s="80"/>
      <c r="AX346" s="80"/>
      <c r="AY346" s="80"/>
      <c r="AZ346" s="80"/>
      <c r="BA346" s="80"/>
      <c r="BB346" s="80"/>
      <c r="BC346">
        <v>6</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341</v>
      </c>
      <c r="B347" s="65" t="s">
        <v>377</v>
      </c>
      <c r="C347" s="66" t="s">
        <v>2817</v>
      </c>
      <c r="D347" s="67">
        <v>10</v>
      </c>
      <c r="E347" s="66" t="s">
        <v>136</v>
      </c>
      <c r="F347" s="69">
        <v>15.75</v>
      </c>
      <c r="G347" s="66"/>
      <c r="H347" s="70"/>
      <c r="I347" s="71"/>
      <c r="J347" s="71"/>
      <c r="K347" s="35" t="s">
        <v>65</v>
      </c>
      <c r="L347" s="72">
        <v>347</v>
      </c>
      <c r="M347" s="72"/>
      <c r="N347" s="73"/>
      <c r="O347" s="80" t="s">
        <v>406</v>
      </c>
      <c r="P347" s="82">
        <v>44480.959085648145</v>
      </c>
      <c r="Q347" s="80" t="s">
        <v>490</v>
      </c>
      <c r="R347"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47" s="80" t="s">
        <v>535</v>
      </c>
      <c r="T347" s="80"/>
      <c r="U347" s="80"/>
      <c r="V347" s="85" t="str">
        <f>HYPERLINK("https://pbs.twimg.com/profile_images/879700936704315392/WxI5eCW5_normal.jpg")</f>
        <v>https://pbs.twimg.com/profile_images/879700936704315392/WxI5eCW5_normal.jpg</v>
      </c>
      <c r="W347" s="82">
        <v>44480.959085648145</v>
      </c>
      <c r="X347" s="87">
        <v>44480</v>
      </c>
      <c r="Y347" s="83" t="s">
        <v>715</v>
      </c>
      <c r="Z347" s="85" t="str">
        <f>HYPERLINK("https://twitter.com/economistpods/status/1447698798541688836")</f>
        <v>https://twitter.com/economistpods/status/1447698798541688836</v>
      </c>
      <c r="AA347" s="80"/>
      <c r="AB347" s="80"/>
      <c r="AC347" s="83" t="s">
        <v>902</v>
      </c>
      <c r="AD347" s="80"/>
      <c r="AE347" s="80" t="b">
        <v>0</v>
      </c>
      <c r="AF347" s="80">
        <v>0</v>
      </c>
      <c r="AG347" s="83" t="s">
        <v>952</v>
      </c>
      <c r="AH347" s="80" t="b">
        <v>0</v>
      </c>
      <c r="AI347" s="80" t="s">
        <v>967</v>
      </c>
      <c r="AJ347" s="80"/>
      <c r="AK347" s="83" t="s">
        <v>952</v>
      </c>
      <c r="AL347" s="80" t="b">
        <v>0</v>
      </c>
      <c r="AM347" s="80">
        <v>0</v>
      </c>
      <c r="AN347" s="83" t="s">
        <v>952</v>
      </c>
      <c r="AO347" s="83" t="s">
        <v>990</v>
      </c>
      <c r="AP347" s="80" t="b">
        <v>0</v>
      </c>
      <c r="AQ347" s="83" t="s">
        <v>902</v>
      </c>
      <c r="AR347" s="80" t="s">
        <v>196</v>
      </c>
      <c r="AS347" s="80">
        <v>0</v>
      </c>
      <c r="AT347" s="80">
        <v>0</v>
      </c>
      <c r="AU347" s="80"/>
      <c r="AV347" s="80"/>
      <c r="AW347" s="80"/>
      <c r="AX347" s="80"/>
      <c r="AY347" s="80"/>
      <c r="AZ347" s="80"/>
      <c r="BA347" s="80"/>
      <c r="BB347" s="80"/>
      <c r="BC347">
        <v>6</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331</v>
      </c>
      <c r="B348" s="65" t="s">
        <v>378</v>
      </c>
      <c r="C348" s="66" t="s">
        <v>2815</v>
      </c>
      <c r="D348" s="67">
        <v>3</v>
      </c>
      <c r="E348" s="66" t="s">
        <v>132</v>
      </c>
      <c r="F348" s="69">
        <v>32</v>
      </c>
      <c r="G348" s="66"/>
      <c r="H348" s="70"/>
      <c r="I348" s="71"/>
      <c r="J348" s="71"/>
      <c r="K348" s="35" t="s">
        <v>65</v>
      </c>
      <c r="L348" s="72">
        <v>348</v>
      </c>
      <c r="M348" s="72"/>
      <c r="N348" s="73"/>
      <c r="O348" s="80" t="s">
        <v>407</v>
      </c>
      <c r="P348" s="82">
        <v>44477.46878472222</v>
      </c>
      <c r="Q348" s="80" t="s">
        <v>470</v>
      </c>
      <c r="R348" s="85" t="str">
        <f>HYPERLINK("https://econ.trib.al/AoNqILv")</f>
        <v>https://econ.trib.al/AoNqILv</v>
      </c>
      <c r="S348" s="80" t="s">
        <v>528</v>
      </c>
      <c r="T348" s="80"/>
      <c r="U348" s="80"/>
      <c r="V348" s="85" t="str">
        <f>HYPERLINK("https://pbs.twimg.com/profile_images/1413053667930951680/NpQOcSDf_normal.jpg")</f>
        <v>https://pbs.twimg.com/profile_images/1413053667930951680/NpQOcSDf_normal.jpg</v>
      </c>
      <c r="W348" s="82">
        <v>44477.46878472222</v>
      </c>
      <c r="X348" s="87">
        <v>44477</v>
      </c>
      <c r="Y348" s="83" t="s">
        <v>682</v>
      </c>
      <c r="Z348" s="85" t="str">
        <f>HYPERLINK("https://twitter.com/grownunder/status/1446433955465646114")</f>
        <v>https://twitter.com/grownunder/status/1446433955465646114</v>
      </c>
      <c r="AA348" s="80"/>
      <c r="AB348" s="80"/>
      <c r="AC348" s="83" t="s">
        <v>865</v>
      </c>
      <c r="AD348" s="80"/>
      <c r="AE348" s="80" t="b">
        <v>0</v>
      </c>
      <c r="AF348" s="80">
        <v>0</v>
      </c>
      <c r="AG348" s="83" t="s">
        <v>952</v>
      </c>
      <c r="AH348" s="80" t="b">
        <v>0</v>
      </c>
      <c r="AI348" s="80" t="s">
        <v>967</v>
      </c>
      <c r="AJ348" s="80"/>
      <c r="AK348" s="83" t="s">
        <v>952</v>
      </c>
      <c r="AL348" s="80" t="b">
        <v>0</v>
      </c>
      <c r="AM348" s="80">
        <v>2</v>
      </c>
      <c r="AN348" s="83" t="s">
        <v>868</v>
      </c>
      <c r="AO348" s="83" t="s">
        <v>979</v>
      </c>
      <c r="AP348" s="80" t="b">
        <v>0</v>
      </c>
      <c r="AQ348" s="83" t="s">
        <v>868</v>
      </c>
      <c r="AR348" s="80" t="s">
        <v>196</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342</v>
      </c>
      <c r="B349" s="65" t="s">
        <v>331</v>
      </c>
      <c r="C349" s="66" t="s">
        <v>2818</v>
      </c>
      <c r="D349" s="67">
        <v>10</v>
      </c>
      <c r="E349" s="66" t="s">
        <v>136</v>
      </c>
      <c r="F349" s="69">
        <v>25.5</v>
      </c>
      <c r="G349" s="66"/>
      <c r="H349" s="70"/>
      <c r="I349" s="71"/>
      <c r="J349" s="71"/>
      <c r="K349" s="35" t="s">
        <v>65</v>
      </c>
      <c r="L349" s="72">
        <v>349</v>
      </c>
      <c r="M349" s="72"/>
      <c r="N349" s="73"/>
      <c r="O349" s="80" t="s">
        <v>406</v>
      </c>
      <c r="P349" s="82">
        <v>44476.41684027778</v>
      </c>
      <c r="Q349" s="80" t="s">
        <v>432</v>
      </c>
      <c r="R349" s="85" t="str">
        <f>HYPERLINK("https://econ.trib.al/UuLdSAj")</f>
        <v>https://econ.trib.al/UuLdSAj</v>
      </c>
      <c r="S349" s="80" t="s">
        <v>528</v>
      </c>
      <c r="T349" s="80"/>
      <c r="U349" s="80"/>
      <c r="V349" s="85" t="str">
        <f>HYPERLINK("https://pbs.twimg.com/profile_images/879361767914262528/HdRauDM-_normal.jpg")</f>
        <v>https://pbs.twimg.com/profile_images/879361767914262528/HdRauDM-_normal.jpg</v>
      </c>
      <c r="W349" s="82">
        <v>44476.41684027778</v>
      </c>
      <c r="X349" s="87">
        <v>44476</v>
      </c>
      <c r="Y349" s="83" t="s">
        <v>708</v>
      </c>
      <c r="Z349" s="85" t="str">
        <f>HYPERLINK("https://twitter.com/theeconomist/status/1446052745350365184")</f>
        <v>https://twitter.com/theeconomist/status/1446052745350365184</v>
      </c>
      <c r="AA349" s="80"/>
      <c r="AB349" s="80"/>
      <c r="AC349" s="83" t="s">
        <v>894</v>
      </c>
      <c r="AD349" s="80"/>
      <c r="AE349" s="80" t="b">
        <v>0</v>
      </c>
      <c r="AF349" s="80">
        <v>24</v>
      </c>
      <c r="AG349" s="83" t="s">
        <v>952</v>
      </c>
      <c r="AH349" s="80" t="b">
        <v>0</v>
      </c>
      <c r="AI349" s="80" t="s">
        <v>967</v>
      </c>
      <c r="AJ349" s="80"/>
      <c r="AK349" s="83" t="s">
        <v>952</v>
      </c>
      <c r="AL349" s="80" t="b">
        <v>0</v>
      </c>
      <c r="AM349" s="80">
        <v>11</v>
      </c>
      <c r="AN349" s="83" t="s">
        <v>952</v>
      </c>
      <c r="AO349" s="83" t="s">
        <v>990</v>
      </c>
      <c r="AP349" s="80" t="b">
        <v>0</v>
      </c>
      <c r="AQ349" s="83" t="s">
        <v>894</v>
      </c>
      <c r="AR349" s="80" t="s">
        <v>196</v>
      </c>
      <c r="AS349" s="80">
        <v>0</v>
      </c>
      <c r="AT349" s="80">
        <v>0</v>
      </c>
      <c r="AU349" s="80"/>
      <c r="AV349" s="80"/>
      <c r="AW349" s="80"/>
      <c r="AX349" s="80"/>
      <c r="AY349" s="80"/>
      <c r="AZ349" s="80"/>
      <c r="BA349" s="80"/>
      <c r="BB349" s="80"/>
      <c r="BC349">
        <v>3</v>
      </c>
      <c r="BD349" s="79" t="str">
        <f>REPLACE(INDEX(GroupVertices[Group],MATCH(Edges[[#This Row],[Vertex 1]],GroupVertices[Vertex],0)),1,1,"")</f>
        <v>1</v>
      </c>
      <c r="BE349" s="79" t="str">
        <f>REPLACE(INDEX(GroupVertices[Group],MATCH(Edges[[#This Row],[Vertex 2]],GroupVertices[Vertex],0)),1,1,"")</f>
        <v>1</v>
      </c>
      <c r="BF349" s="49"/>
      <c r="BG349" s="50"/>
      <c r="BH349" s="49"/>
      <c r="BI349" s="50"/>
      <c r="BJ349" s="49"/>
      <c r="BK349" s="50"/>
      <c r="BL349" s="49"/>
      <c r="BM349" s="50"/>
      <c r="BN349" s="49"/>
    </row>
    <row r="350" spans="1:66" ht="15">
      <c r="A350" s="65" t="s">
        <v>342</v>
      </c>
      <c r="B350" s="65" t="s">
        <v>331</v>
      </c>
      <c r="C350" s="66" t="s">
        <v>2818</v>
      </c>
      <c r="D350" s="67">
        <v>10</v>
      </c>
      <c r="E350" s="66" t="s">
        <v>136</v>
      </c>
      <c r="F350" s="69">
        <v>25.5</v>
      </c>
      <c r="G350" s="66"/>
      <c r="H350" s="70"/>
      <c r="I350" s="71"/>
      <c r="J350" s="71"/>
      <c r="K350" s="35" t="s">
        <v>65</v>
      </c>
      <c r="L350" s="72">
        <v>350</v>
      </c>
      <c r="M350" s="72"/>
      <c r="N350" s="73"/>
      <c r="O350" s="80" t="s">
        <v>406</v>
      </c>
      <c r="P350" s="82">
        <v>44478.16677083333</v>
      </c>
      <c r="Q350" s="80" t="s">
        <v>452</v>
      </c>
      <c r="R350" s="85" t="str">
        <f>HYPERLINK("https://econ.trib.al/B6siniM")</f>
        <v>https://econ.trib.al/B6siniM</v>
      </c>
      <c r="S350" s="80" t="s">
        <v>528</v>
      </c>
      <c r="T350" s="80"/>
      <c r="U350" s="80"/>
      <c r="V350" s="85" t="str">
        <f>HYPERLINK("https://pbs.twimg.com/profile_images/879361767914262528/HdRauDM-_normal.jpg")</f>
        <v>https://pbs.twimg.com/profile_images/879361767914262528/HdRauDM-_normal.jpg</v>
      </c>
      <c r="W350" s="82">
        <v>44478.16677083333</v>
      </c>
      <c r="X350" s="87">
        <v>44478</v>
      </c>
      <c r="Y350" s="83" t="s">
        <v>709</v>
      </c>
      <c r="Z350" s="85" t="str">
        <f>HYPERLINK("https://twitter.com/theeconomist/status/1446686897695305740")</f>
        <v>https://twitter.com/theeconomist/status/1446686897695305740</v>
      </c>
      <c r="AA350" s="80"/>
      <c r="AB350" s="80"/>
      <c r="AC350" s="83" t="s">
        <v>895</v>
      </c>
      <c r="AD350" s="80"/>
      <c r="AE350" s="80" t="b">
        <v>0</v>
      </c>
      <c r="AF350" s="80">
        <v>28</v>
      </c>
      <c r="AG350" s="83" t="s">
        <v>952</v>
      </c>
      <c r="AH350" s="80" t="b">
        <v>0</v>
      </c>
      <c r="AI350" s="80" t="s">
        <v>967</v>
      </c>
      <c r="AJ350" s="80"/>
      <c r="AK350" s="83" t="s">
        <v>952</v>
      </c>
      <c r="AL350" s="80" t="b">
        <v>0</v>
      </c>
      <c r="AM350" s="80">
        <v>12</v>
      </c>
      <c r="AN350" s="83" t="s">
        <v>952</v>
      </c>
      <c r="AO350" s="83" t="s">
        <v>990</v>
      </c>
      <c r="AP350" s="80" t="b">
        <v>0</v>
      </c>
      <c r="AQ350" s="83" t="s">
        <v>895</v>
      </c>
      <c r="AR350" s="80" t="s">
        <v>196</v>
      </c>
      <c r="AS350" s="80">
        <v>0</v>
      </c>
      <c r="AT350" s="80">
        <v>0</v>
      </c>
      <c r="AU350" s="80"/>
      <c r="AV350" s="80"/>
      <c r="AW350" s="80"/>
      <c r="AX350" s="80"/>
      <c r="AY350" s="80"/>
      <c r="AZ350" s="80"/>
      <c r="BA350" s="80"/>
      <c r="BB350" s="80"/>
      <c r="BC350">
        <v>3</v>
      </c>
      <c r="BD350" s="79" t="str">
        <f>REPLACE(INDEX(GroupVertices[Group],MATCH(Edges[[#This Row],[Vertex 1]],GroupVertices[Vertex],0)),1,1,"")</f>
        <v>1</v>
      </c>
      <c r="BE350" s="79" t="str">
        <f>REPLACE(INDEX(GroupVertices[Group],MATCH(Edges[[#This Row],[Vertex 2]],GroupVertices[Vertex],0)),1,1,"")</f>
        <v>1</v>
      </c>
      <c r="BF350" s="49"/>
      <c r="BG350" s="50"/>
      <c r="BH350" s="49"/>
      <c r="BI350" s="50"/>
      <c r="BJ350" s="49"/>
      <c r="BK350" s="50"/>
      <c r="BL350" s="49"/>
      <c r="BM350" s="50"/>
      <c r="BN350" s="49"/>
    </row>
    <row r="351" spans="1:66" ht="15">
      <c r="A351" s="65" t="s">
        <v>342</v>
      </c>
      <c r="B351" s="65" t="s">
        <v>331</v>
      </c>
      <c r="C351" s="66" t="s">
        <v>2818</v>
      </c>
      <c r="D351" s="67">
        <v>10</v>
      </c>
      <c r="E351" s="66" t="s">
        <v>136</v>
      </c>
      <c r="F351" s="69">
        <v>25.5</v>
      </c>
      <c r="G351" s="66"/>
      <c r="H351" s="70"/>
      <c r="I351" s="71"/>
      <c r="J351" s="71"/>
      <c r="K351" s="35" t="s">
        <v>65</v>
      </c>
      <c r="L351" s="72">
        <v>351</v>
      </c>
      <c r="M351" s="72"/>
      <c r="N351" s="73"/>
      <c r="O351" s="80" t="s">
        <v>406</v>
      </c>
      <c r="P351" s="82">
        <v>44480.16668981482</v>
      </c>
      <c r="Q351" s="80" t="s">
        <v>468</v>
      </c>
      <c r="R351" s="85" t="str">
        <f>HYPERLINK("https://econ.trib.al/w1YeE88")</f>
        <v>https://econ.trib.al/w1YeE88</v>
      </c>
      <c r="S351" s="80" t="s">
        <v>528</v>
      </c>
      <c r="T351" s="80"/>
      <c r="U351" s="80"/>
      <c r="V351" s="85" t="str">
        <f>HYPERLINK("https://pbs.twimg.com/profile_images/879361767914262528/HdRauDM-_normal.jpg")</f>
        <v>https://pbs.twimg.com/profile_images/879361767914262528/HdRauDM-_normal.jpg</v>
      </c>
      <c r="W351" s="82">
        <v>44480.16668981482</v>
      </c>
      <c r="X351" s="87">
        <v>44480</v>
      </c>
      <c r="Y351" s="83" t="s">
        <v>710</v>
      </c>
      <c r="Z351" s="85" t="str">
        <f>HYPERLINK("https://twitter.com/theeconomist/status/1447411644942929923")</f>
        <v>https://twitter.com/theeconomist/status/1447411644942929923</v>
      </c>
      <c r="AA351" s="80"/>
      <c r="AB351" s="80"/>
      <c r="AC351" s="83" t="s">
        <v>896</v>
      </c>
      <c r="AD351" s="80"/>
      <c r="AE351" s="80" t="b">
        <v>0</v>
      </c>
      <c r="AF351" s="80">
        <v>32</v>
      </c>
      <c r="AG351" s="83" t="s">
        <v>952</v>
      </c>
      <c r="AH351" s="80" t="b">
        <v>0</v>
      </c>
      <c r="AI351" s="80" t="s">
        <v>967</v>
      </c>
      <c r="AJ351" s="80"/>
      <c r="AK351" s="83" t="s">
        <v>952</v>
      </c>
      <c r="AL351" s="80" t="b">
        <v>0</v>
      </c>
      <c r="AM351" s="80">
        <v>10</v>
      </c>
      <c r="AN351" s="83" t="s">
        <v>952</v>
      </c>
      <c r="AO351" s="83" t="s">
        <v>990</v>
      </c>
      <c r="AP351" s="80" t="b">
        <v>0</v>
      </c>
      <c r="AQ351" s="83" t="s">
        <v>896</v>
      </c>
      <c r="AR351" s="80" t="s">
        <v>196</v>
      </c>
      <c r="AS351" s="80">
        <v>0</v>
      </c>
      <c r="AT351" s="80">
        <v>0</v>
      </c>
      <c r="AU351" s="80"/>
      <c r="AV351" s="80"/>
      <c r="AW351" s="80"/>
      <c r="AX351" s="80"/>
      <c r="AY351" s="80"/>
      <c r="AZ351" s="80"/>
      <c r="BA351" s="80"/>
      <c r="BB351" s="80"/>
      <c r="BC351">
        <v>3</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341</v>
      </c>
      <c r="B352" s="65" t="s">
        <v>331</v>
      </c>
      <c r="C352" s="66" t="s">
        <v>2820</v>
      </c>
      <c r="D352" s="67">
        <v>10</v>
      </c>
      <c r="E352" s="66" t="s">
        <v>136</v>
      </c>
      <c r="F352" s="69">
        <v>12.5</v>
      </c>
      <c r="G352" s="66"/>
      <c r="H352" s="70"/>
      <c r="I352" s="71"/>
      <c r="J352" s="71"/>
      <c r="K352" s="35" t="s">
        <v>65</v>
      </c>
      <c r="L352" s="72">
        <v>352</v>
      </c>
      <c r="M352" s="72"/>
      <c r="N352" s="73"/>
      <c r="O352" s="80" t="s">
        <v>406</v>
      </c>
      <c r="P352" s="82">
        <v>44474.95949074074</v>
      </c>
      <c r="Q352" s="80" t="s">
        <v>486</v>
      </c>
      <c r="R352"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2" s="80" t="s">
        <v>535</v>
      </c>
      <c r="T352" s="80"/>
      <c r="U352" s="80"/>
      <c r="V352" s="85" t="str">
        <f>HYPERLINK("https://pbs.twimg.com/profile_images/879700936704315392/WxI5eCW5_normal.jpg")</f>
        <v>https://pbs.twimg.com/profile_images/879700936704315392/WxI5eCW5_normal.jpg</v>
      </c>
      <c r="W352" s="82">
        <v>44474.95949074074</v>
      </c>
      <c r="X352" s="87">
        <v>44474</v>
      </c>
      <c r="Y352" s="83" t="s">
        <v>707</v>
      </c>
      <c r="Z352" s="85" t="str">
        <f>HYPERLINK("https://twitter.com/economistpods/status/1445524618702327811")</f>
        <v>https://twitter.com/economistpods/status/1445524618702327811</v>
      </c>
      <c r="AA352" s="80"/>
      <c r="AB352" s="80"/>
      <c r="AC352" s="83" t="s">
        <v>893</v>
      </c>
      <c r="AD352" s="80"/>
      <c r="AE352" s="80" t="b">
        <v>0</v>
      </c>
      <c r="AF352" s="80">
        <v>0</v>
      </c>
      <c r="AG352" s="83" t="s">
        <v>952</v>
      </c>
      <c r="AH352" s="80" t="b">
        <v>0</v>
      </c>
      <c r="AI352" s="80" t="s">
        <v>967</v>
      </c>
      <c r="AJ352" s="80"/>
      <c r="AK352" s="83" t="s">
        <v>952</v>
      </c>
      <c r="AL352" s="80" t="b">
        <v>0</v>
      </c>
      <c r="AM352" s="80">
        <v>0</v>
      </c>
      <c r="AN352" s="83" t="s">
        <v>952</v>
      </c>
      <c r="AO352" s="83" t="s">
        <v>990</v>
      </c>
      <c r="AP352" s="80" t="b">
        <v>0</v>
      </c>
      <c r="AQ352" s="83" t="s">
        <v>893</v>
      </c>
      <c r="AR352" s="80" t="s">
        <v>196</v>
      </c>
      <c r="AS352" s="80">
        <v>0</v>
      </c>
      <c r="AT352" s="80">
        <v>0</v>
      </c>
      <c r="AU352" s="80"/>
      <c r="AV352" s="80"/>
      <c r="AW352" s="80"/>
      <c r="AX352" s="80"/>
      <c r="AY352" s="80"/>
      <c r="AZ352" s="80"/>
      <c r="BA352" s="80"/>
      <c r="BB352" s="80"/>
      <c r="BC352">
        <v>7</v>
      </c>
      <c r="BD352" s="79" t="str">
        <f>REPLACE(INDEX(GroupVertices[Group],MATCH(Edges[[#This Row],[Vertex 1]],GroupVertices[Vertex],0)),1,1,"")</f>
        <v>1</v>
      </c>
      <c r="BE352" s="79" t="str">
        <f>REPLACE(INDEX(GroupVertices[Group],MATCH(Edges[[#This Row],[Vertex 2]],GroupVertices[Vertex],0)),1,1,"")</f>
        <v>1</v>
      </c>
      <c r="BF352" s="49"/>
      <c r="BG352" s="50"/>
      <c r="BH352" s="49"/>
      <c r="BI352" s="50"/>
      <c r="BJ352" s="49"/>
      <c r="BK352" s="50"/>
      <c r="BL352" s="49"/>
      <c r="BM352" s="50"/>
      <c r="BN352" s="49"/>
    </row>
    <row r="353" spans="1:66" ht="15">
      <c r="A353" s="65" t="s">
        <v>341</v>
      </c>
      <c r="B353" s="65" t="s">
        <v>331</v>
      </c>
      <c r="C353" s="66" t="s">
        <v>2820</v>
      </c>
      <c r="D353" s="67">
        <v>10</v>
      </c>
      <c r="E353" s="66" t="s">
        <v>136</v>
      </c>
      <c r="F353" s="69">
        <v>12.5</v>
      </c>
      <c r="G353" s="66"/>
      <c r="H353" s="70"/>
      <c r="I353" s="71"/>
      <c r="J353" s="71"/>
      <c r="K353" s="35" t="s">
        <v>65</v>
      </c>
      <c r="L353" s="72">
        <v>353</v>
      </c>
      <c r="M353" s="72"/>
      <c r="N353" s="73"/>
      <c r="O353" s="80" t="s">
        <v>406</v>
      </c>
      <c r="P353" s="82">
        <v>44475.9591087963</v>
      </c>
      <c r="Q353" s="80" t="s">
        <v>487</v>
      </c>
      <c r="R353"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3" s="80" t="s">
        <v>535</v>
      </c>
      <c r="T353" s="80"/>
      <c r="U353" s="80"/>
      <c r="V353" s="85" t="str">
        <f>HYPERLINK("https://pbs.twimg.com/profile_images/879700936704315392/WxI5eCW5_normal.jpg")</f>
        <v>https://pbs.twimg.com/profile_images/879700936704315392/WxI5eCW5_normal.jpg</v>
      </c>
      <c r="W353" s="82">
        <v>44475.9591087963</v>
      </c>
      <c r="X353" s="87">
        <v>44475</v>
      </c>
      <c r="Y353" s="83" t="s">
        <v>711</v>
      </c>
      <c r="Z353" s="85" t="str">
        <f>HYPERLINK("https://twitter.com/economistpods/status/1445886868562796545")</f>
        <v>https://twitter.com/economistpods/status/1445886868562796545</v>
      </c>
      <c r="AA353" s="80"/>
      <c r="AB353" s="80"/>
      <c r="AC353" s="83" t="s">
        <v>897</v>
      </c>
      <c r="AD353" s="80"/>
      <c r="AE353" s="80" t="b">
        <v>0</v>
      </c>
      <c r="AF353" s="80">
        <v>0</v>
      </c>
      <c r="AG353" s="83" t="s">
        <v>952</v>
      </c>
      <c r="AH353" s="80" t="b">
        <v>0</v>
      </c>
      <c r="AI353" s="80" t="s">
        <v>967</v>
      </c>
      <c r="AJ353" s="80"/>
      <c r="AK353" s="83" t="s">
        <v>952</v>
      </c>
      <c r="AL353" s="80" t="b">
        <v>0</v>
      </c>
      <c r="AM353" s="80">
        <v>0</v>
      </c>
      <c r="AN353" s="83" t="s">
        <v>952</v>
      </c>
      <c r="AO353" s="83" t="s">
        <v>990</v>
      </c>
      <c r="AP353" s="80" t="b">
        <v>0</v>
      </c>
      <c r="AQ353" s="83" t="s">
        <v>897</v>
      </c>
      <c r="AR353" s="80" t="s">
        <v>196</v>
      </c>
      <c r="AS353" s="80">
        <v>0</v>
      </c>
      <c r="AT353" s="80">
        <v>0</v>
      </c>
      <c r="AU353" s="80"/>
      <c r="AV353" s="80"/>
      <c r="AW353" s="80"/>
      <c r="AX353" s="80"/>
      <c r="AY353" s="80"/>
      <c r="AZ353" s="80"/>
      <c r="BA353" s="80"/>
      <c r="BB353" s="80"/>
      <c r="BC353">
        <v>7</v>
      </c>
      <c r="BD353" s="79" t="str">
        <f>REPLACE(INDEX(GroupVertices[Group],MATCH(Edges[[#This Row],[Vertex 1]],GroupVertices[Vertex],0)),1,1,"")</f>
        <v>1</v>
      </c>
      <c r="BE353" s="79" t="str">
        <f>REPLACE(INDEX(GroupVertices[Group],MATCH(Edges[[#This Row],[Vertex 2]],GroupVertices[Vertex],0)),1,1,"")</f>
        <v>1</v>
      </c>
      <c r="BF353" s="49"/>
      <c r="BG353" s="50"/>
      <c r="BH353" s="49"/>
      <c r="BI353" s="50"/>
      <c r="BJ353" s="49"/>
      <c r="BK353" s="50"/>
      <c r="BL353" s="49"/>
      <c r="BM353" s="50"/>
      <c r="BN353" s="49"/>
    </row>
    <row r="354" spans="1:66" ht="15">
      <c r="A354" s="65" t="s">
        <v>341</v>
      </c>
      <c r="B354" s="65" t="s">
        <v>331</v>
      </c>
      <c r="C354" s="66" t="s">
        <v>2820</v>
      </c>
      <c r="D354" s="67">
        <v>10</v>
      </c>
      <c r="E354" s="66" t="s">
        <v>136</v>
      </c>
      <c r="F354" s="69">
        <v>12.5</v>
      </c>
      <c r="G354" s="66"/>
      <c r="H354" s="70"/>
      <c r="I354" s="71"/>
      <c r="J354" s="71"/>
      <c r="K354" s="35" t="s">
        <v>65</v>
      </c>
      <c r="L354" s="72">
        <v>354</v>
      </c>
      <c r="M354" s="72"/>
      <c r="N354" s="73"/>
      <c r="O354" s="80" t="s">
        <v>406</v>
      </c>
      <c r="P354" s="82">
        <v>44476.959074074075</v>
      </c>
      <c r="Q354" s="80" t="s">
        <v>481</v>
      </c>
      <c r="R354"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4" s="80" t="s">
        <v>535</v>
      </c>
      <c r="T354" s="80"/>
      <c r="U354" s="80"/>
      <c r="V354" s="85" t="str">
        <f>HYPERLINK("https://pbs.twimg.com/profile_images/879700936704315392/WxI5eCW5_normal.jpg")</f>
        <v>https://pbs.twimg.com/profile_images/879700936704315392/WxI5eCW5_normal.jpg</v>
      </c>
      <c r="W354" s="82">
        <v>44476.959074074075</v>
      </c>
      <c r="X354" s="87">
        <v>44476</v>
      </c>
      <c r="Y354" s="83" t="s">
        <v>712</v>
      </c>
      <c r="Z354" s="85" t="str">
        <f>HYPERLINK("https://twitter.com/economistpods/status/1446249242553630728")</f>
        <v>https://twitter.com/economistpods/status/1446249242553630728</v>
      </c>
      <c r="AA354" s="80"/>
      <c r="AB354" s="80"/>
      <c r="AC354" s="83" t="s">
        <v>898</v>
      </c>
      <c r="AD354" s="80"/>
      <c r="AE354" s="80" t="b">
        <v>0</v>
      </c>
      <c r="AF354" s="80">
        <v>1</v>
      </c>
      <c r="AG354" s="83" t="s">
        <v>952</v>
      </c>
      <c r="AH354" s="80" t="b">
        <v>0</v>
      </c>
      <c r="AI354" s="80" t="s">
        <v>967</v>
      </c>
      <c r="AJ354" s="80"/>
      <c r="AK354" s="83" t="s">
        <v>952</v>
      </c>
      <c r="AL354" s="80" t="b">
        <v>0</v>
      </c>
      <c r="AM354" s="80">
        <v>1</v>
      </c>
      <c r="AN354" s="83" t="s">
        <v>952</v>
      </c>
      <c r="AO354" s="83" t="s">
        <v>990</v>
      </c>
      <c r="AP354" s="80" t="b">
        <v>0</v>
      </c>
      <c r="AQ354" s="83" t="s">
        <v>898</v>
      </c>
      <c r="AR354" s="80" t="s">
        <v>196</v>
      </c>
      <c r="AS354" s="80">
        <v>0</v>
      </c>
      <c r="AT354" s="80">
        <v>0</v>
      </c>
      <c r="AU354" s="80"/>
      <c r="AV354" s="80"/>
      <c r="AW354" s="80"/>
      <c r="AX354" s="80"/>
      <c r="AY354" s="80"/>
      <c r="AZ354" s="80"/>
      <c r="BA354" s="80"/>
      <c r="BB354" s="80"/>
      <c r="BC354">
        <v>7</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341</v>
      </c>
      <c r="B355" s="65" t="s">
        <v>331</v>
      </c>
      <c r="C355" s="66" t="s">
        <v>2820</v>
      </c>
      <c r="D355" s="67">
        <v>10</v>
      </c>
      <c r="E355" s="66" t="s">
        <v>136</v>
      </c>
      <c r="F355" s="69">
        <v>12.5</v>
      </c>
      <c r="G355" s="66"/>
      <c r="H355" s="70"/>
      <c r="I355" s="71"/>
      <c r="J355" s="71"/>
      <c r="K355" s="35" t="s">
        <v>65</v>
      </c>
      <c r="L355" s="72">
        <v>355</v>
      </c>
      <c r="M355" s="72"/>
      <c r="N355" s="73"/>
      <c r="O355" s="80" t="s">
        <v>406</v>
      </c>
      <c r="P355" s="82">
        <v>44477.9590625</v>
      </c>
      <c r="Q355" s="80" t="s">
        <v>488</v>
      </c>
      <c r="R355"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5" s="80" t="s">
        <v>535</v>
      </c>
      <c r="T355" s="80"/>
      <c r="U355" s="80"/>
      <c r="V355" s="85" t="str">
        <f>HYPERLINK("https://pbs.twimg.com/profile_images/879700936704315392/WxI5eCW5_normal.jpg")</f>
        <v>https://pbs.twimg.com/profile_images/879700936704315392/WxI5eCW5_normal.jpg</v>
      </c>
      <c r="W355" s="82">
        <v>44477.9590625</v>
      </c>
      <c r="X355" s="87">
        <v>44477</v>
      </c>
      <c r="Y355" s="83" t="s">
        <v>713</v>
      </c>
      <c r="Z355" s="85" t="str">
        <f>HYPERLINK("https://twitter.com/economistpods/status/1446611629827936259")</f>
        <v>https://twitter.com/economistpods/status/1446611629827936259</v>
      </c>
      <c r="AA355" s="80"/>
      <c r="AB355" s="80"/>
      <c r="AC355" s="83" t="s">
        <v>899</v>
      </c>
      <c r="AD355" s="80"/>
      <c r="AE355" s="80" t="b">
        <v>0</v>
      </c>
      <c r="AF355" s="80">
        <v>0</v>
      </c>
      <c r="AG355" s="83" t="s">
        <v>952</v>
      </c>
      <c r="AH355" s="80" t="b">
        <v>0</v>
      </c>
      <c r="AI355" s="80" t="s">
        <v>967</v>
      </c>
      <c r="AJ355" s="80"/>
      <c r="AK355" s="83" t="s">
        <v>952</v>
      </c>
      <c r="AL355" s="80" t="b">
        <v>0</v>
      </c>
      <c r="AM355" s="80">
        <v>0</v>
      </c>
      <c r="AN355" s="83" t="s">
        <v>952</v>
      </c>
      <c r="AO355" s="83" t="s">
        <v>990</v>
      </c>
      <c r="AP355" s="80" t="b">
        <v>0</v>
      </c>
      <c r="AQ355" s="83" t="s">
        <v>899</v>
      </c>
      <c r="AR355" s="80" t="s">
        <v>196</v>
      </c>
      <c r="AS355" s="80">
        <v>0</v>
      </c>
      <c r="AT355" s="80">
        <v>0</v>
      </c>
      <c r="AU355" s="80"/>
      <c r="AV355" s="80"/>
      <c r="AW355" s="80"/>
      <c r="AX355" s="80"/>
      <c r="AY355" s="80"/>
      <c r="AZ355" s="80"/>
      <c r="BA355" s="80"/>
      <c r="BB355" s="80"/>
      <c r="BC355">
        <v>7</v>
      </c>
      <c r="BD355" s="79" t="str">
        <f>REPLACE(INDEX(GroupVertices[Group],MATCH(Edges[[#This Row],[Vertex 1]],GroupVertices[Vertex],0)),1,1,"")</f>
        <v>1</v>
      </c>
      <c r="BE355" s="79" t="str">
        <f>REPLACE(INDEX(GroupVertices[Group],MATCH(Edges[[#This Row],[Vertex 2]],GroupVertices[Vertex],0)),1,1,"")</f>
        <v>1</v>
      </c>
      <c r="BF355" s="49"/>
      <c r="BG355" s="50"/>
      <c r="BH355" s="49"/>
      <c r="BI355" s="50"/>
      <c r="BJ355" s="49"/>
      <c r="BK355" s="50"/>
      <c r="BL355" s="49"/>
      <c r="BM355" s="50"/>
      <c r="BN355" s="49"/>
    </row>
    <row r="356" spans="1:66" ht="15">
      <c r="A356" s="65" t="s">
        <v>341</v>
      </c>
      <c r="B356" s="65" t="s">
        <v>331</v>
      </c>
      <c r="C356" s="66" t="s">
        <v>2820</v>
      </c>
      <c r="D356" s="67">
        <v>10</v>
      </c>
      <c r="E356" s="66" t="s">
        <v>136</v>
      </c>
      <c r="F356" s="69">
        <v>12.5</v>
      </c>
      <c r="G356" s="66"/>
      <c r="H356" s="70"/>
      <c r="I356" s="71"/>
      <c r="J356" s="71"/>
      <c r="K356" s="35" t="s">
        <v>65</v>
      </c>
      <c r="L356" s="72">
        <v>356</v>
      </c>
      <c r="M356" s="72"/>
      <c r="N356" s="73"/>
      <c r="O356" s="80" t="s">
        <v>406</v>
      </c>
      <c r="P356" s="82">
        <v>44478.9591087963</v>
      </c>
      <c r="Q356" s="80" t="s">
        <v>455</v>
      </c>
      <c r="R356"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6" s="80" t="s">
        <v>535</v>
      </c>
      <c r="T356" s="80"/>
      <c r="U356" s="80"/>
      <c r="V356" s="85" t="str">
        <f>HYPERLINK("https://pbs.twimg.com/profile_images/879700936704315392/WxI5eCW5_normal.jpg")</f>
        <v>https://pbs.twimg.com/profile_images/879700936704315392/WxI5eCW5_normal.jpg</v>
      </c>
      <c r="W356" s="82">
        <v>44478.9591087963</v>
      </c>
      <c r="X356" s="87">
        <v>44478</v>
      </c>
      <c r="Y356" s="83" t="s">
        <v>711</v>
      </c>
      <c r="Z356" s="85" t="str">
        <f>HYPERLINK("https://twitter.com/economistpods/status/1446974031413092360")</f>
        <v>https://twitter.com/economistpods/status/1446974031413092360</v>
      </c>
      <c r="AA356" s="80"/>
      <c r="AB356" s="80"/>
      <c r="AC356" s="83" t="s">
        <v>900</v>
      </c>
      <c r="AD356" s="80"/>
      <c r="AE356" s="80" t="b">
        <v>0</v>
      </c>
      <c r="AF356" s="80">
        <v>0</v>
      </c>
      <c r="AG356" s="83" t="s">
        <v>952</v>
      </c>
      <c r="AH356" s="80" t="b">
        <v>0</v>
      </c>
      <c r="AI356" s="80" t="s">
        <v>967</v>
      </c>
      <c r="AJ356" s="80"/>
      <c r="AK356" s="83" t="s">
        <v>952</v>
      </c>
      <c r="AL356" s="80" t="b">
        <v>0</v>
      </c>
      <c r="AM356" s="80">
        <v>1</v>
      </c>
      <c r="AN356" s="83" t="s">
        <v>952</v>
      </c>
      <c r="AO356" s="83" t="s">
        <v>990</v>
      </c>
      <c r="AP356" s="80" t="b">
        <v>0</v>
      </c>
      <c r="AQ356" s="83" t="s">
        <v>900</v>
      </c>
      <c r="AR356" s="80" t="s">
        <v>196</v>
      </c>
      <c r="AS356" s="80">
        <v>0</v>
      </c>
      <c r="AT356" s="80">
        <v>0</v>
      </c>
      <c r="AU356" s="80"/>
      <c r="AV356" s="80"/>
      <c r="AW356" s="80"/>
      <c r="AX356" s="80"/>
      <c r="AY356" s="80"/>
      <c r="AZ356" s="80"/>
      <c r="BA356" s="80"/>
      <c r="BB356" s="80"/>
      <c r="BC356">
        <v>7</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341</v>
      </c>
      <c r="B357" s="65" t="s">
        <v>331</v>
      </c>
      <c r="C357" s="66" t="s">
        <v>2820</v>
      </c>
      <c r="D357" s="67">
        <v>10</v>
      </c>
      <c r="E357" s="66" t="s">
        <v>136</v>
      </c>
      <c r="F357" s="69">
        <v>12.5</v>
      </c>
      <c r="G357" s="66"/>
      <c r="H357" s="70"/>
      <c r="I357" s="71"/>
      <c r="J357" s="71"/>
      <c r="K357" s="35" t="s">
        <v>65</v>
      </c>
      <c r="L357" s="72">
        <v>357</v>
      </c>
      <c r="M357" s="72"/>
      <c r="N357" s="73"/>
      <c r="O357" s="80" t="s">
        <v>406</v>
      </c>
      <c r="P357" s="82">
        <v>44479.95909722222</v>
      </c>
      <c r="Q357" s="80" t="s">
        <v>489</v>
      </c>
      <c r="R357"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7" s="80" t="s">
        <v>535</v>
      </c>
      <c r="T357" s="80"/>
      <c r="U357" s="80"/>
      <c r="V357" s="85" t="str">
        <f>HYPERLINK("https://pbs.twimg.com/profile_images/879700936704315392/WxI5eCW5_normal.jpg")</f>
        <v>https://pbs.twimg.com/profile_images/879700936704315392/WxI5eCW5_normal.jpg</v>
      </c>
      <c r="W357" s="82">
        <v>44479.95909722222</v>
      </c>
      <c r="X357" s="87">
        <v>44479</v>
      </c>
      <c r="Y357" s="83" t="s">
        <v>714</v>
      </c>
      <c r="Z357" s="85" t="str">
        <f>HYPERLINK("https://twitter.com/economistpods/status/1447336418074931203")</f>
        <v>https://twitter.com/economistpods/status/1447336418074931203</v>
      </c>
      <c r="AA357" s="80"/>
      <c r="AB357" s="80"/>
      <c r="AC357" s="83" t="s">
        <v>901</v>
      </c>
      <c r="AD357" s="80"/>
      <c r="AE357" s="80" t="b">
        <v>0</v>
      </c>
      <c r="AF357" s="80">
        <v>0</v>
      </c>
      <c r="AG357" s="83" t="s">
        <v>952</v>
      </c>
      <c r="AH357" s="80" t="b">
        <v>0</v>
      </c>
      <c r="AI357" s="80" t="s">
        <v>967</v>
      </c>
      <c r="AJ357" s="80"/>
      <c r="AK357" s="83" t="s">
        <v>952</v>
      </c>
      <c r="AL357" s="80" t="b">
        <v>0</v>
      </c>
      <c r="AM357" s="80">
        <v>0</v>
      </c>
      <c r="AN357" s="83" t="s">
        <v>952</v>
      </c>
      <c r="AO357" s="83" t="s">
        <v>990</v>
      </c>
      <c r="AP357" s="80" t="b">
        <v>0</v>
      </c>
      <c r="AQ357" s="83" t="s">
        <v>901</v>
      </c>
      <c r="AR357" s="80" t="s">
        <v>196</v>
      </c>
      <c r="AS357" s="80">
        <v>0</v>
      </c>
      <c r="AT357" s="80">
        <v>0</v>
      </c>
      <c r="AU357" s="80"/>
      <c r="AV357" s="80"/>
      <c r="AW357" s="80"/>
      <c r="AX357" s="80"/>
      <c r="AY357" s="80"/>
      <c r="AZ357" s="80"/>
      <c r="BA357" s="80"/>
      <c r="BB357" s="80"/>
      <c r="BC357">
        <v>7</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341</v>
      </c>
      <c r="B358" s="65" t="s">
        <v>331</v>
      </c>
      <c r="C358" s="66" t="s">
        <v>2820</v>
      </c>
      <c r="D358" s="67">
        <v>10</v>
      </c>
      <c r="E358" s="66" t="s">
        <v>136</v>
      </c>
      <c r="F358" s="69">
        <v>12.5</v>
      </c>
      <c r="G358" s="66"/>
      <c r="H358" s="70"/>
      <c r="I358" s="71"/>
      <c r="J358" s="71"/>
      <c r="K358" s="35" t="s">
        <v>65</v>
      </c>
      <c r="L358" s="72">
        <v>358</v>
      </c>
      <c r="M358" s="72"/>
      <c r="N358" s="73"/>
      <c r="O358" s="80" t="s">
        <v>406</v>
      </c>
      <c r="P358" s="82">
        <v>44480.959085648145</v>
      </c>
      <c r="Q358" s="80" t="s">
        <v>490</v>
      </c>
      <c r="R358"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58" s="80" t="s">
        <v>535</v>
      </c>
      <c r="T358" s="80"/>
      <c r="U358" s="80"/>
      <c r="V358" s="85" t="str">
        <f>HYPERLINK("https://pbs.twimg.com/profile_images/879700936704315392/WxI5eCW5_normal.jpg")</f>
        <v>https://pbs.twimg.com/profile_images/879700936704315392/WxI5eCW5_normal.jpg</v>
      </c>
      <c r="W358" s="82">
        <v>44480.959085648145</v>
      </c>
      <c r="X358" s="87">
        <v>44480</v>
      </c>
      <c r="Y358" s="83" t="s">
        <v>715</v>
      </c>
      <c r="Z358" s="85" t="str">
        <f>HYPERLINK("https://twitter.com/economistpods/status/1447698798541688836")</f>
        <v>https://twitter.com/economistpods/status/1447698798541688836</v>
      </c>
      <c r="AA358" s="80"/>
      <c r="AB358" s="80"/>
      <c r="AC358" s="83" t="s">
        <v>902</v>
      </c>
      <c r="AD358" s="80"/>
      <c r="AE358" s="80" t="b">
        <v>0</v>
      </c>
      <c r="AF358" s="80">
        <v>0</v>
      </c>
      <c r="AG358" s="83" t="s">
        <v>952</v>
      </c>
      <c r="AH358" s="80" t="b">
        <v>0</v>
      </c>
      <c r="AI358" s="80" t="s">
        <v>967</v>
      </c>
      <c r="AJ358" s="80"/>
      <c r="AK358" s="83" t="s">
        <v>952</v>
      </c>
      <c r="AL358" s="80" t="b">
        <v>0</v>
      </c>
      <c r="AM358" s="80">
        <v>0</v>
      </c>
      <c r="AN358" s="83" t="s">
        <v>952</v>
      </c>
      <c r="AO358" s="83" t="s">
        <v>990</v>
      </c>
      <c r="AP358" s="80" t="b">
        <v>0</v>
      </c>
      <c r="AQ358" s="83" t="s">
        <v>902</v>
      </c>
      <c r="AR358" s="80" t="s">
        <v>196</v>
      </c>
      <c r="AS358" s="80">
        <v>0</v>
      </c>
      <c r="AT358" s="80">
        <v>0</v>
      </c>
      <c r="AU358" s="80"/>
      <c r="AV358" s="80"/>
      <c r="AW358" s="80"/>
      <c r="AX358" s="80"/>
      <c r="AY358" s="80"/>
      <c r="AZ358" s="80"/>
      <c r="BA358" s="80"/>
      <c r="BB358" s="80"/>
      <c r="BC358">
        <v>7</v>
      </c>
      <c r="BD358" s="79" t="str">
        <f>REPLACE(INDEX(GroupVertices[Group],MATCH(Edges[[#This Row],[Vertex 1]],GroupVertices[Vertex],0)),1,1,"")</f>
        <v>1</v>
      </c>
      <c r="BE358" s="79" t="str">
        <f>REPLACE(INDEX(GroupVertices[Group],MATCH(Edges[[#This Row],[Vertex 2]],GroupVertices[Vertex],0)),1,1,"")</f>
        <v>1</v>
      </c>
      <c r="BF358" s="49"/>
      <c r="BG358" s="50"/>
      <c r="BH358" s="49"/>
      <c r="BI358" s="50"/>
      <c r="BJ358" s="49"/>
      <c r="BK358" s="50"/>
      <c r="BL358" s="49"/>
      <c r="BM358" s="50"/>
      <c r="BN358" s="49"/>
    </row>
    <row r="359" spans="1:66" ht="15">
      <c r="A359" s="65" t="s">
        <v>342</v>
      </c>
      <c r="B359" s="65" t="s">
        <v>378</v>
      </c>
      <c r="C359" s="66" t="s">
        <v>2818</v>
      </c>
      <c r="D359" s="67">
        <v>10</v>
      </c>
      <c r="E359" s="66" t="s">
        <v>136</v>
      </c>
      <c r="F359" s="69">
        <v>25.5</v>
      </c>
      <c r="G359" s="66"/>
      <c r="H359" s="70"/>
      <c r="I359" s="71"/>
      <c r="J359" s="71"/>
      <c r="K359" s="35" t="s">
        <v>65</v>
      </c>
      <c r="L359" s="72">
        <v>359</v>
      </c>
      <c r="M359" s="72"/>
      <c r="N359" s="73"/>
      <c r="O359" s="80" t="s">
        <v>406</v>
      </c>
      <c r="P359" s="82">
        <v>44476.41684027778</v>
      </c>
      <c r="Q359" s="80" t="s">
        <v>432</v>
      </c>
      <c r="R359" s="85" t="str">
        <f>HYPERLINK("https://econ.trib.al/UuLdSAj")</f>
        <v>https://econ.trib.al/UuLdSAj</v>
      </c>
      <c r="S359" s="80" t="s">
        <v>528</v>
      </c>
      <c r="T359" s="80"/>
      <c r="U359" s="80"/>
      <c r="V359" s="85" t="str">
        <f>HYPERLINK("https://pbs.twimg.com/profile_images/879361767914262528/HdRauDM-_normal.jpg")</f>
        <v>https://pbs.twimg.com/profile_images/879361767914262528/HdRauDM-_normal.jpg</v>
      </c>
      <c r="W359" s="82">
        <v>44476.41684027778</v>
      </c>
      <c r="X359" s="87">
        <v>44476</v>
      </c>
      <c r="Y359" s="83" t="s">
        <v>708</v>
      </c>
      <c r="Z359" s="85" t="str">
        <f>HYPERLINK("https://twitter.com/theeconomist/status/1446052745350365184")</f>
        <v>https://twitter.com/theeconomist/status/1446052745350365184</v>
      </c>
      <c r="AA359" s="80"/>
      <c r="AB359" s="80"/>
      <c r="AC359" s="83" t="s">
        <v>894</v>
      </c>
      <c r="AD359" s="80"/>
      <c r="AE359" s="80" t="b">
        <v>0</v>
      </c>
      <c r="AF359" s="80">
        <v>24</v>
      </c>
      <c r="AG359" s="83" t="s">
        <v>952</v>
      </c>
      <c r="AH359" s="80" t="b">
        <v>0</v>
      </c>
      <c r="AI359" s="80" t="s">
        <v>967</v>
      </c>
      <c r="AJ359" s="80"/>
      <c r="AK359" s="83" t="s">
        <v>952</v>
      </c>
      <c r="AL359" s="80" t="b">
        <v>0</v>
      </c>
      <c r="AM359" s="80">
        <v>11</v>
      </c>
      <c r="AN359" s="83" t="s">
        <v>952</v>
      </c>
      <c r="AO359" s="83" t="s">
        <v>990</v>
      </c>
      <c r="AP359" s="80" t="b">
        <v>0</v>
      </c>
      <c r="AQ359" s="83" t="s">
        <v>894</v>
      </c>
      <c r="AR359" s="80" t="s">
        <v>196</v>
      </c>
      <c r="AS359" s="80">
        <v>0</v>
      </c>
      <c r="AT359" s="80">
        <v>0</v>
      </c>
      <c r="AU359" s="80"/>
      <c r="AV359" s="80"/>
      <c r="AW359" s="80"/>
      <c r="AX359" s="80"/>
      <c r="AY359" s="80"/>
      <c r="AZ359" s="80"/>
      <c r="BA359" s="80"/>
      <c r="BB359" s="80"/>
      <c r="BC359">
        <v>3</v>
      </c>
      <c r="BD359" s="79" t="str">
        <f>REPLACE(INDEX(GroupVertices[Group],MATCH(Edges[[#This Row],[Vertex 1]],GroupVertices[Vertex],0)),1,1,"")</f>
        <v>1</v>
      </c>
      <c r="BE359" s="79" t="str">
        <f>REPLACE(INDEX(GroupVertices[Group],MATCH(Edges[[#This Row],[Vertex 2]],GroupVertices[Vertex],0)),1,1,"")</f>
        <v>1</v>
      </c>
      <c r="BF359" s="49">
        <v>0</v>
      </c>
      <c r="BG359" s="50">
        <v>0</v>
      </c>
      <c r="BH359" s="49">
        <v>0</v>
      </c>
      <c r="BI359" s="50">
        <v>0</v>
      </c>
      <c r="BJ359" s="49">
        <v>0</v>
      </c>
      <c r="BK359" s="50">
        <v>0</v>
      </c>
      <c r="BL359" s="49">
        <v>34</v>
      </c>
      <c r="BM359" s="50">
        <v>100</v>
      </c>
      <c r="BN359" s="49">
        <v>34</v>
      </c>
    </row>
    <row r="360" spans="1:66" ht="15">
      <c r="A360" s="65" t="s">
        <v>342</v>
      </c>
      <c r="B360" s="65" t="s">
        <v>378</v>
      </c>
      <c r="C360" s="66" t="s">
        <v>2818</v>
      </c>
      <c r="D360" s="67">
        <v>10</v>
      </c>
      <c r="E360" s="66" t="s">
        <v>136</v>
      </c>
      <c r="F360" s="69">
        <v>25.5</v>
      </c>
      <c r="G360" s="66"/>
      <c r="H360" s="70"/>
      <c r="I360" s="71"/>
      <c r="J360" s="71"/>
      <c r="K360" s="35" t="s">
        <v>65</v>
      </c>
      <c r="L360" s="72">
        <v>360</v>
      </c>
      <c r="M360" s="72"/>
      <c r="N360" s="73"/>
      <c r="O360" s="80" t="s">
        <v>406</v>
      </c>
      <c r="P360" s="82">
        <v>44478.16677083333</v>
      </c>
      <c r="Q360" s="80" t="s">
        <v>452</v>
      </c>
      <c r="R360" s="85" t="str">
        <f>HYPERLINK("https://econ.trib.al/B6siniM")</f>
        <v>https://econ.trib.al/B6siniM</v>
      </c>
      <c r="S360" s="80" t="s">
        <v>528</v>
      </c>
      <c r="T360" s="80"/>
      <c r="U360" s="80"/>
      <c r="V360" s="85" t="str">
        <f>HYPERLINK("https://pbs.twimg.com/profile_images/879361767914262528/HdRauDM-_normal.jpg")</f>
        <v>https://pbs.twimg.com/profile_images/879361767914262528/HdRauDM-_normal.jpg</v>
      </c>
      <c r="W360" s="82">
        <v>44478.16677083333</v>
      </c>
      <c r="X360" s="87">
        <v>44478</v>
      </c>
      <c r="Y360" s="83" t="s">
        <v>709</v>
      </c>
      <c r="Z360" s="85" t="str">
        <f>HYPERLINK("https://twitter.com/theeconomist/status/1446686897695305740")</f>
        <v>https://twitter.com/theeconomist/status/1446686897695305740</v>
      </c>
      <c r="AA360" s="80"/>
      <c r="AB360" s="80"/>
      <c r="AC360" s="83" t="s">
        <v>895</v>
      </c>
      <c r="AD360" s="80"/>
      <c r="AE360" s="80" t="b">
        <v>0</v>
      </c>
      <c r="AF360" s="80">
        <v>28</v>
      </c>
      <c r="AG360" s="83" t="s">
        <v>952</v>
      </c>
      <c r="AH360" s="80" t="b">
        <v>0</v>
      </c>
      <c r="AI360" s="80" t="s">
        <v>967</v>
      </c>
      <c r="AJ360" s="80"/>
      <c r="AK360" s="83" t="s">
        <v>952</v>
      </c>
      <c r="AL360" s="80" t="b">
        <v>0</v>
      </c>
      <c r="AM360" s="80">
        <v>12</v>
      </c>
      <c r="AN360" s="83" t="s">
        <v>952</v>
      </c>
      <c r="AO360" s="83" t="s">
        <v>990</v>
      </c>
      <c r="AP360" s="80" t="b">
        <v>0</v>
      </c>
      <c r="AQ360" s="83" t="s">
        <v>895</v>
      </c>
      <c r="AR360" s="80" t="s">
        <v>196</v>
      </c>
      <c r="AS360" s="80">
        <v>0</v>
      </c>
      <c r="AT360" s="80">
        <v>0</v>
      </c>
      <c r="AU360" s="80"/>
      <c r="AV360" s="80"/>
      <c r="AW360" s="80"/>
      <c r="AX360" s="80"/>
      <c r="AY360" s="80"/>
      <c r="AZ360" s="80"/>
      <c r="BA360" s="80"/>
      <c r="BB360" s="80"/>
      <c r="BC360">
        <v>3</v>
      </c>
      <c r="BD360" s="79" t="str">
        <f>REPLACE(INDEX(GroupVertices[Group],MATCH(Edges[[#This Row],[Vertex 1]],GroupVertices[Vertex],0)),1,1,"")</f>
        <v>1</v>
      </c>
      <c r="BE360" s="79" t="str">
        <f>REPLACE(INDEX(GroupVertices[Group],MATCH(Edges[[#This Row],[Vertex 2]],GroupVertices[Vertex],0)),1,1,"")</f>
        <v>1</v>
      </c>
      <c r="BF360" s="49">
        <v>0</v>
      </c>
      <c r="BG360" s="50">
        <v>0</v>
      </c>
      <c r="BH360" s="49">
        <v>0</v>
      </c>
      <c r="BI360" s="50">
        <v>0</v>
      </c>
      <c r="BJ360" s="49">
        <v>0</v>
      </c>
      <c r="BK360" s="50">
        <v>0</v>
      </c>
      <c r="BL360" s="49">
        <v>34</v>
      </c>
      <c r="BM360" s="50">
        <v>100</v>
      </c>
      <c r="BN360" s="49">
        <v>34</v>
      </c>
    </row>
    <row r="361" spans="1:66" ht="15">
      <c r="A361" s="65" t="s">
        <v>342</v>
      </c>
      <c r="B361" s="65" t="s">
        <v>378</v>
      </c>
      <c r="C361" s="66" t="s">
        <v>2818</v>
      </c>
      <c r="D361" s="67">
        <v>10</v>
      </c>
      <c r="E361" s="66" t="s">
        <v>136</v>
      </c>
      <c r="F361" s="69">
        <v>25.5</v>
      </c>
      <c r="G361" s="66"/>
      <c r="H361" s="70"/>
      <c r="I361" s="71"/>
      <c r="J361" s="71"/>
      <c r="K361" s="35" t="s">
        <v>65</v>
      </c>
      <c r="L361" s="72">
        <v>361</v>
      </c>
      <c r="M361" s="72"/>
      <c r="N361" s="73"/>
      <c r="O361" s="80" t="s">
        <v>406</v>
      </c>
      <c r="P361" s="82">
        <v>44480.16668981482</v>
      </c>
      <c r="Q361" s="80" t="s">
        <v>468</v>
      </c>
      <c r="R361" s="85" t="str">
        <f>HYPERLINK("https://econ.trib.al/w1YeE88")</f>
        <v>https://econ.trib.al/w1YeE88</v>
      </c>
      <c r="S361" s="80" t="s">
        <v>528</v>
      </c>
      <c r="T361" s="80"/>
      <c r="U361" s="80"/>
      <c r="V361" s="85" t="str">
        <f>HYPERLINK("https://pbs.twimg.com/profile_images/879361767914262528/HdRauDM-_normal.jpg")</f>
        <v>https://pbs.twimg.com/profile_images/879361767914262528/HdRauDM-_normal.jpg</v>
      </c>
      <c r="W361" s="82">
        <v>44480.16668981482</v>
      </c>
      <c r="X361" s="87">
        <v>44480</v>
      </c>
      <c r="Y361" s="83" t="s">
        <v>710</v>
      </c>
      <c r="Z361" s="85" t="str">
        <f>HYPERLINK("https://twitter.com/theeconomist/status/1447411644942929923")</f>
        <v>https://twitter.com/theeconomist/status/1447411644942929923</v>
      </c>
      <c r="AA361" s="80"/>
      <c r="AB361" s="80"/>
      <c r="AC361" s="83" t="s">
        <v>896</v>
      </c>
      <c r="AD361" s="80"/>
      <c r="AE361" s="80" t="b">
        <v>0</v>
      </c>
      <c r="AF361" s="80">
        <v>32</v>
      </c>
      <c r="AG361" s="83" t="s">
        <v>952</v>
      </c>
      <c r="AH361" s="80" t="b">
        <v>0</v>
      </c>
      <c r="AI361" s="80" t="s">
        <v>967</v>
      </c>
      <c r="AJ361" s="80"/>
      <c r="AK361" s="83" t="s">
        <v>952</v>
      </c>
      <c r="AL361" s="80" t="b">
        <v>0</v>
      </c>
      <c r="AM361" s="80">
        <v>10</v>
      </c>
      <c r="AN361" s="83" t="s">
        <v>952</v>
      </c>
      <c r="AO361" s="83" t="s">
        <v>990</v>
      </c>
      <c r="AP361" s="80" t="b">
        <v>0</v>
      </c>
      <c r="AQ361" s="83" t="s">
        <v>896</v>
      </c>
      <c r="AR361" s="80" t="s">
        <v>196</v>
      </c>
      <c r="AS361" s="80">
        <v>0</v>
      </c>
      <c r="AT361" s="80">
        <v>0</v>
      </c>
      <c r="AU361" s="80"/>
      <c r="AV361" s="80"/>
      <c r="AW361" s="80"/>
      <c r="AX361" s="80"/>
      <c r="AY361" s="80"/>
      <c r="AZ361" s="80"/>
      <c r="BA361" s="80"/>
      <c r="BB361" s="80"/>
      <c r="BC361">
        <v>3</v>
      </c>
      <c r="BD361" s="79" t="str">
        <f>REPLACE(INDEX(GroupVertices[Group],MATCH(Edges[[#This Row],[Vertex 1]],GroupVertices[Vertex],0)),1,1,"")</f>
        <v>1</v>
      </c>
      <c r="BE361" s="79" t="str">
        <f>REPLACE(INDEX(GroupVertices[Group],MATCH(Edges[[#This Row],[Vertex 2]],GroupVertices[Vertex],0)),1,1,"")</f>
        <v>1</v>
      </c>
      <c r="BF361" s="49">
        <v>0</v>
      </c>
      <c r="BG361" s="50">
        <v>0</v>
      </c>
      <c r="BH361" s="49">
        <v>0</v>
      </c>
      <c r="BI361" s="50">
        <v>0</v>
      </c>
      <c r="BJ361" s="49">
        <v>0</v>
      </c>
      <c r="BK361" s="50">
        <v>0</v>
      </c>
      <c r="BL361" s="49">
        <v>34</v>
      </c>
      <c r="BM361" s="50">
        <v>100</v>
      </c>
      <c r="BN361" s="49">
        <v>34</v>
      </c>
    </row>
    <row r="362" spans="1:66" ht="15">
      <c r="A362" s="65" t="s">
        <v>341</v>
      </c>
      <c r="B362" s="65" t="s">
        <v>378</v>
      </c>
      <c r="C362" s="66" t="s">
        <v>2820</v>
      </c>
      <c r="D362" s="67">
        <v>10</v>
      </c>
      <c r="E362" s="66" t="s">
        <v>136</v>
      </c>
      <c r="F362" s="69">
        <v>12.5</v>
      </c>
      <c r="G362" s="66"/>
      <c r="H362" s="70"/>
      <c r="I362" s="71"/>
      <c r="J362" s="71"/>
      <c r="K362" s="35" t="s">
        <v>65</v>
      </c>
      <c r="L362" s="72">
        <v>362</v>
      </c>
      <c r="M362" s="72"/>
      <c r="N362" s="73"/>
      <c r="O362" s="80" t="s">
        <v>406</v>
      </c>
      <c r="P362" s="82">
        <v>44474.95949074074</v>
      </c>
      <c r="Q362" s="80" t="s">
        <v>486</v>
      </c>
      <c r="R362"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2" s="80" t="s">
        <v>535</v>
      </c>
      <c r="T362" s="80"/>
      <c r="U362" s="80"/>
      <c r="V362" s="85" t="str">
        <f>HYPERLINK("https://pbs.twimg.com/profile_images/879700936704315392/WxI5eCW5_normal.jpg")</f>
        <v>https://pbs.twimg.com/profile_images/879700936704315392/WxI5eCW5_normal.jpg</v>
      </c>
      <c r="W362" s="82">
        <v>44474.95949074074</v>
      </c>
      <c r="X362" s="87">
        <v>44474</v>
      </c>
      <c r="Y362" s="83" t="s">
        <v>707</v>
      </c>
      <c r="Z362" s="85" t="str">
        <f>HYPERLINK("https://twitter.com/economistpods/status/1445524618702327811")</f>
        <v>https://twitter.com/economistpods/status/1445524618702327811</v>
      </c>
      <c r="AA362" s="80"/>
      <c r="AB362" s="80"/>
      <c r="AC362" s="83" t="s">
        <v>893</v>
      </c>
      <c r="AD362" s="80"/>
      <c r="AE362" s="80" t="b">
        <v>0</v>
      </c>
      <c r="AF362" s="80">
        <v>0</v>
      </c>
      <c r="AG362" s="83" t="s">
        <v>952</v>
      </c>
      <c r="AH362" s="80" t="b">
        <v>0</v>
      </c>
      <c r="AI362" s="80" t="s">
        <v>967</v>
      </c>
      <c r="AJ362" s="80"/>
      <c r="AK362" s="83" t="s">
        <v>952</v>
      </c>
      <c r="AL362" s="80" t="b">
        <v>0</v>
      </c>
      <c r="AM362" s="80">
        <v>0</v>
      </c>
      <c r="AN362" s="83" t="s">
        <v>952</v>
      </c>
      <c r="AO362" s="83" t="s">
        <v>990</v>
      </c>
      <c r="AP362" s="80" t="b">
        <v>0</v>
      </c>
      <c r="AQ362" s="83" t="s">
        <v>893</v>
      </c>
      <c r="AR362" s="80" t="s">
        <v>196</v>
      </c>
      <c r="AS362" s="80">
        <v>0</v>
      </c>
      <c r="AT362" s="80">
        <v>0</v>
      </c>
      <c r="AU362" s="80"/>
      <c r="AV362" s="80"/>
      <c r="AW362" s="80"/>
      <c r="AX362" s="80"/>
      <c r="AY362" s="80"/>
      <c r="AZ362" s="80"/>
      <c r="BA362" s="80"/>
      <c r="BB362" s="80"/>
      <c r="BC362">
        <v>7</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341</v>
      </c>
      <c r="B363" s="65" t="s">
        <v>378</v>
      </c>
      <c r="C363" s="66" t="s">
        <v>2820</v>
      </c>
      <c r="D363" s="67">
        <v>10</v>
      </c>
      <c r="E363" s="66" t="s">
        <v>136</v>
      </c>
      <c r="F363" s="69">
        <v>12.5</v>
      </c>
      <c r="G363" s="66"/>
      <c r="H363" s="70"/>
      <c r="I363" s="71"/>
      <c r="J363" s="71"/>
      <c r="K363" s="35" t="s">
        <v>65</v>
      </c>
      <c r="L363" s="72">
        <v>363</v>
      </c>
      <c r="M363" s="72"/>
      <c r="N363" s="73"/>
      <c r="O363" s="80" t="s">
        <v>406</v>
      </c>
      <c r="P363" s="82">
        <v>44475.9591087963</v>
      </c>
      <c r="Q363" s="80" t="s">
        <v>487</v>
      </c>
      <c r="R363"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3" s="80" t="s">
        <v>535</v>
      </c>
      <c r="T363" s="80"/>
      <c r="U363" s="80"/>
      <c r="V363" s="85" t="str">
        <f>HYPERLINK("https://pbs.twimg.com/profile_images/879700936704315392/WxI5eCW5_normal.jpg")</f>
        <v>https://pbs.twimg.com/profile_images/879700936704315392/WxI5eCW5_normal.jpg</v>
      </c>
      <c r="W363" s="82">
        <v>44475.9591087963</v>
      </c>
      <c r="X363" s="87">
        <v>44475</v>
      </c>
      <c r="Y363" s="83" t="s">
        <v>711</v>
      </c>
      <c r="Z363" s="85" t="str">
        <f>HYPERLINK("https://twitter.com/economistpods/status/1445886868562796545")</f>
        <v>https://twitter.com/economistpods/status/1445886868562796545</v>
      </c>
      <c r="AA363" s="80"/>
      <c r="AB363" s="80"/>
      <c r="AC363" s="83" t="s">
        <v>897</v>
      </c>
      <c r="AD363" s="80"/>
      <c r="AE363" s="80" t="b">
        <v>0</v>
      </c>
      <c r="AF363" s="80">
        <v>0</v>
      </c>
      <c r="AG363" s="83" t="s">
        <v>952</v>
      </c>
      <c r="AH363" s="80" t="b">
        <v>0</v>
      </c>
      <c r="AI363" s="80" t="s">
        <v>967</v>
      </c>
      <c r="AJ363" s="80"/>
      <c r="AK363" s="83" t="s">
        <v>952</v>
      </c>
      <c r="AL363" s="80" t="b">
        <v>0</v>
      </c>
      <c r="AM363" s="80">
        <v>0</v>
      </c>
      <c r="AN363" s="83" t="s">
        <v>952</v>
      </c>
      <c r="AO363" s="83" t="s">
        <v>990</v>
      </c>
      <c r="AP363" s="80" t="b">
        <v>0</v>
      </c>
      <c r="AQ363" s="83" t="s">
        <v>897</v>
      </c>
      <c r="AR363" s="80" t="s">
        <v>196</v>
      </c>
      <c r="AS363" s="80">
        <v>0</v>
      </c>
      <c r="AT363" s="80">
        <v>0</v>
      </c>
      <c r="AU363" s="80"/>
      <c r="AV363" s="80"/>
      <c r="AW363" s="80"/>
      <c r="AX363" s="80"/>
      <c r="AY363" s="80"/>
      <c r="AZ363" s="80"/>
      <c r="BA363" s="80"/>
      <c r="BB363" s="80"/>
      <c r="BC363">
        <v>7</v>
      </c>
      <c r="BD363" s="79" t="str">
        <f>REPLACE(INDEX(GroupVertices[Group],MATCH(Edges[[#This Row],[Vertex 1]],GroupVertices[Vertex],0)),1,1,"")</f>
        <v>1</v>
      </c>
      <c r="BE363" s="79" t="str">
        <f>REPLACE(INDEX(GroupVertices[Group],MATCH(Edges[[#This Row],[Vertex 2]],GroupVertices[Vertex],0)),1,1,"")</f>
        <v>1</v>
      </c>
      <c r="BF363" s="49">
        <v>0</v>
      </c>
      <c r="BG363" s="50">
        <v>0</v>
      </c>
      <c r="BH363" s="49">
        <v>0</v>
      </c>
      <c r="BI363" s="50">
        <v>0</v>
      </c>
      <c r="BJ363" s="49">
        <v>0</v>
      </c>
      <c r="BK363" s="50">
        <v>0</v>
      </c>
      <c r="BL363" s="49">
        <v>34</v>
      </c>
      <c r="BM363" s="50">
        <v>100</v>
      </c>
      <c r="BN363" s="49">
        <v>34</v>
      </c>
    </row>
    <row r="364" spans="1:66" ht="15">
      <c r="A364" s="65" t="s">
        <v>341</v>
      </c>
      <c r="B364" s="65" t="s">
        <v>378</v>
      </c>
      <c r="C364" s="66" t="s">
        <v>2820</v>
      </c>
      <c r="D364" s="67">
        <v>10</v>
      </c>
      <c r="E364" s="66" t="s">
        <v>136</v>
      </c>
      <c r="F364" s="69">
        <v>12.5</v>
      </c>
      <c r="G364" s="66"/>
      <c r="H364" s="70"/>
      <c r="I364" s="71"/>
      <c r="J364" s="71"/>
      <c r="K364" s="35" t="s">
        <v>65</v>
      </c>
      <c r="L364" s="72">
        <v>364</v>
      </c>
      <c r="M364" s="72"/>
      <c r="N364" s="73"/>
      <c r="O364" s="80" t="s">
        <v>406</v>
      </c>
      <c r="P364" s="82">
        <v>44476.959074074075</v>
      </c>
      <c r="Q364" s="80" t="s">
        <v>481</v>
      </c>
      <c r="R364"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4" s="80" t="s">
        <v>535</v>
      </c>
      <c r="T364" s="80"/>
      <c r="U364" s="80"/>
      <c r="V364" s="85" t="str">
        <f>HYPERLINK("https://pbs.twimg.com/profile_images/879700936704315392/WxI5eCW5_normal.jpg")</f>
        <v>https://pbs.twimg.com/profile_images/879700936704315392/WxI5eCW5_normal.jpg</v>
      </c>
      <c r="W364" s="82">
        <v>44476.959074074075</v>
      </c>
      <c r="X364" s="87">
        <v>44476</v>
      </c>
      <c r="Y364" s="83" t="s">
        <v>712</v>
      </c>
      <c r="Z364" s="85" t="str">
        <f>HYPERLINK("https://twitter.com/economistpods/status/1446249242553630728")</f>
        <v>https://twitter.com/economistpods/status/1446249242553630728</v>
      </c>
      <c r="AA364" s="80"/>
      <c r="AB364" s="80"/>
      <c r="AC364" s="83" t="s">
        <v>898</v>
      </c>
      <c r="AD364" s="80"/>
      <c r="AE364" s="80" t="b">
        <v>0</v>
      </c>
      <c r="AF364" s="80">
        <v>1</v>
      </c>
      <c r="AG364" s="83" t="s">
        <v>952</v>
      </c>
      <c r="AH364" s="80" t="b">
        <v>0</v>
      </c>
      <c r="AI364" s="80" t="s">
        <v>967</v>
      </c>
      <c r="AJ364" s="80"/>
      <c r="AK364" s="83" t="s">
        <v>952</v>
      </c>
      <c r="AL364" s="80" t="b">
        <v>0</v>
      </c>
      <c r="AM364" s="80">
        <v>1</v>
      </c>
      <c r="AN364" s="83" t="s">
        <v>952</v>
      </c>
      <c r="AO364" s="83" t="s">
        <v>990</v>
      </c>
      <c r="AP364" s="80" t="b">
        <v>0</v>
      </c>
      <c r="AQ364" s="83" t="s">
        <v>898</v>
      </c>
      <c r="AR364" s="80" t="s">
        <v>196</v>
      </c>
      <c r="AS364" s="80">
        <v>0</v>
      </c>
      <c r="AT364" s="80">
        <v>0</v>
      </c>
      <c r="AU364" s="80"/>
      <c r="AV364" s="80"/>
      <c r="AW364" s="80"/>
      <c r="AX364" s="80"/>
      <c r="AY364" s="80"/>
      <c r="AZ364" s="80"/>
      <c r="BA364" s="80"/>
      <c r="BB364" s="80"/>
      <c r="BC364">
        <v>7</v>
      </c>
      <c r="BD364" s="79" t="str">
        <f>REPLACE(INDEX(GroupVertices[Group],MATCH(Edges[[#This Row],[Vertex 1]],GroupVertices[Vertex],0)),1,1,"")</f>
        <v>1</v>
      </c>
      <c r="BE364" s="79" t="str">
        <f>REPLACE(INDEX(GroupVertices[Group],MATCH(Edges[[#This Row],[Vertex 2]],GroupVertices[Vertex],0)),1,1,"")</f>
        <v>1</v>
      </c>
      <c r="BF364" s="49">
        <v>0</v>
      </c>
      <c r="BG364" s="50">
        <v>0</v>
      </c>
      <c r="BH364" s="49">
        <v>0</v>
      </c>
      <c r="BI364" s="50">
        <v>0</v>
      </c>
      <c r="BJ364" s="49">
        <v>0</v>
      </c>
      <c r="BK364" s="50">
        <v>0</v>
      </c>
      <c r="BL364" s="49">
        <v>34</v>
      </c>
      <c r="BM364" s="50">
        <v>100</v>
      </c>
      <c r="BN364" s="49">
        <v>34</v>
      </c>
    </row>
    <row r="365" spans="1:66" ht="15">
      <c r="A365" s="65" t="s">
        <v>341</v>
      </c>
      <c r="B365" s="65" t="s">
        <v>378</v>
      </c>
      <c r="C365" s="66" t="s">
        <v>2820</v>
      </c>
      <c r="D365" s="67">
        <v>10</v>
      </c>
      <c r="E365" s="66" t="s">
        <v>136</v>
      </c>
      <c r="F365" s="69">
        <v>12.5</v>
      </c>
      <c r="G365" s="66"/>
      <c r="H365" s="70"/>
      <c r="I365" s="71"/>
      <c r="J365" s="71"/>
      <c r="K365" s="35" t="s">
        <v>65</v>
      </c>
      <c r="L365" s="72">
        <v>365</v>
      </c>
      <c r="M365" s="72"/>
      <c r="N365" s="73"/>
      <c r="O365" s="80" t="s">
        <v>406</v>
      </c>
      <c r="P365" s="82">
        <v>44477.9590625</v>
      </c>
      <c r="Q365" s="80" t="s">
        <v>488</v>
      </c>
      <c r="R365"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5" s="80" t="s">
        <v>535</v>
      </c>
      <c r="T365" s="80"/>
      <c r="U365" s="80"/>
      <c r="V365" s="85" t="str">
        <f>HYPERLINK("https://pbs.twimg.com/profile_images/879700936704315392/WxI5eCW5_normal.jpg")</f>
        <v>https://pbs.twimg.com/profile_images/879700936704315392/WxI5eCW5_normal.jpg</v>
      </c>
      <c r="W365" s="82">
        <v>44477.9590625</v>
      </c>
      <c r="X365" s="87">
        <v>44477</v>
      </c>
      <c r="Y365" s="83" t="s">
        <v>713</v>
      </c>
      <c r="Z365" s="85" t="str">
        <f>HYPERLINK("https://twitter.com/economistpods/status/1446611629827936259")</f>
        <v>https://twitter.com/economistpods/status/1446611629827936259</v>
      </c>
      <c r="AA365" s="80"/>
      <c r="AB365" s="80"/>
      <c r="AC365" s="83" t="s">
        <v>899</v>
      </c>
      <c r="AD365" s="80"/>
      <c r="AE365" s="80" t="b">
        <v>0</v>
      </c>
      <c r="AF365" s="80">
        <v>0</v>
      </c>
      <c r="AG365" s="83" t="s">
        <v>952</v>
      </c>
      <c r="AH365" s="80" t="b">
        <v>0</v>
      </c>
      <c r="AI365" s="80" t="s">
        <v>967</v>
      </c>
      <c r="AJ365" s="80"/>
      <c r="AK365" s="83" t="s">
        <v>952</v>
      </c>
      <c r="AL365" s="80" t="b">
        <v>0</v>
      </c>
      <c r="AM365" s="80">
        <v>0</v>
      </c>
      <c r="AN365" s="83" t="s">
        <v>952</v>
      </c>
      <c r="AO365" s="83" t="s">
        <v>990</v>
      </c>
      <c r="AP365" s="80" t="b">
        <v>0</v>
      </c>
      <c r="AQ365" s="83" t="s">
        <v>899</v>
      </c>
      <c r="AR365" s="80" t="s">
        <v>196</v>
      </c>
      <c r="AS365" s="80">
        <v>0</v>
      </c>
      <c r="AT365" s="80">
        <v>0</v>
      </c>
      <c r="AU365" s="80"/>
      <c r="AV365" s="80"/>
      <c r="AW365" s="80"/>
      <c r="AX365" s="80"/>
      <c r="AY365" s="80"/>
      <c r="AZ365" s="80"/>
      <c r="BA365" s="80"/>
      <c r="BB365" s="80"/>
      <c r="BC365">
        <v>7</v>
      </c>
      <c r="BD365" s="79" t="str">
        <f>REPLACE(INDEX(GroupVertices[Group],MATCH(Edges[[#This Row],[Vertex 1]],GroupVertices[Vertex],0)),1,1,"")</f>
        <v>1</v>
      </c>
      <c r="BE365" s="79" t="str">
        <f>REPLACE(INDEX(GroupVertices[Group],MATCH(Edges[[#This Row],[Vertex 2]],GroupVertices[Vertex],0)),1,1,"")</f>
        <v>1</v>
      </c>
      <c r="BF365" s="49">
        <v>0</v>
      </c>
      <c r="BG365" s="50">
        <v>0</v>
      </c>
      <c r="BH365" s="49">
        <v>0</v>
      </c>
      <c r="BI365" s="50">
        <v>0</v>
      </c>
      <c r="BJ365" s="49">
        <v>0</v>
      </c>
      <c r="BK365" s="50">
        <v>0</v>
      </c>
      <c r="BL365" s="49">
        <v>34</v>
      </c>
      <c r="BM365" s="50">
        <v>100</v>
      </c>
      <c r="BN365" s="49">
        <v>34</v>
      </c>
    </row>
    <row r="366" spans="1:66" ht="15">
      <c r="A366" s="65" t="s">
        <v>341</v>
      </c>
      <c r="B366" s="65" t="s">
        <v>378</v>
      </c>
      <c r="C366" s="66" t="s">
        <v>2820</v>
      </c>
      <c r="D366" s="67">
        <v>10</v>
      </c>
      <c r="E366" s="66" t="s">
        <v>136</v>
      </c>
      <c r="F366" s="69">
        <v>12.5</v>
      </c>
      <c r="G366" s="66"/>
      <c r="H366" s="70"/>
      <c r="I366" s="71"/>
      <c r="J366" s="71"/>
      <c r="K366" s="35" t="s">
        <v>65</v>
      </c>
      <c r="L366" s="72">
        <v>366</v>
      </c>
      <c r="M366" s="72"/>
      <c r="N366" s="73"/>
      <c r="O366" s="80" t="s">
        <v>406</v>
      </c>
      <c r="P366" s="82">
        <v>44478.9591087963</v>
      </c>
      <c r="Q366" s="80" t="s">
        <v>455</v>
      </c>
      <c r="R366"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6" s="80" t="s">
        <v>535</v>
      </c>
      <c r="T366" s="80"/>
      <c r="U366" s="80"/>
      <c r="V366" s="85" t="str">
        <f>HYPERLINK("https://pbs.twimg.com/profile_images/879700936704315392/WxI5eCW5_normal.jpg")</f>
        <v>https://pbs.twimg.com/profile_images/879700936704315392/WxI5eCW5_normal.jpg</v>
      </c>
      <c r="W366" s="82">
        <v>44478.9591087963</v>
      </c>
      <c r="X366" s="87">
        <v>44478</v>
      </c>
      <c r="Y366" s="83" t="s">
        <v>711</v>
      </c>
      <c r="Z366" s="85" t="str">
        <f>HYPERLINK("https://twitter.com/economistpods/status/1446974031413092360")</f>
        <v>https://twitter.com/economistpods/status/1446974031413092360</v>
      </c>
      <c r="AA366" s="80"/>
      <c r="AB366" s="80"/>
      <c r="AC366" s="83" t="s">
        <v>900</v>
      </c>
      <c r="AD366" s="80"/>
      <c r="AE366" s="80" t="b">
        <v>0</v>
      </c>
      <c r="AF366" s="80">
        <v>0</v>
      </c>
      <c r="AG366" s="83" t="s">
        <v>952</v>
      </c>
      <c r="AH366" s="80" t="b">
        <v>0</v>
      </c>
      <c r="AI366" s="80" t="s">
        <v>967</v>
      </c>
      <c r="AJ366" s="80"/>
      <c r="AK366" s="83" t="s">
        <v>952</v>
      </c>
      <c r="AL366" s="80" t="b">
        <v>0</v>
      </c>
      <c r="AM366" s="80">
        <v>1</v>
      </c>
      <c r="AN366" s="83" t="s">
        <v>952</v>
      </c>
      <c r="AO366" s="83" t="s">
        <v>990</v>
      </c>
      <c r="AP366" s="80" t="b">
        <v>0</v>
      </c>
      <c r="AQ366" s="83" t="s">
        <v>900</v>
      </c>
      <c r="AR366" s="80" t="s">
        <v>196</v>
      </c>
      <c r="AS366" s="80">
        <v>0</v>
      </c>
      <c r="AT366" s="80">
        <v>0</v>
      </c>
      <c r="AU366" s="80"/>
      <c r="AV366" s="80"/>
      <c r="AW366" s="80"/>
      <c r="AX366" s="80"/>
      <c r="AY366" s="80"/>
      <c r="AZ366" s="80"/>
      <c r="BA366" s="80"/>
      <c r="BB366" s="80"/>
      <c r="BC366">
        <v>7</v>
      </c>
      <c r="BD366" s="79" t="str">
        <f>REPLACE(INDEX(GroupVertices[Group],MATCH(Edges[[#This Row],[Vertex 1]],GroupVertices[Vertex],0)),1,1,"")</f>
        <v>1</v>
      </c>
      <c r="BE366" s="79" t="str">
        <f>REPLACE(INDEX(GroupVertices[Group],MATCH(Edges[[#This Row],[Vertex 2]],GroupVertices[Vertex],0)),1,1,"")</f>
        <v>1</v>
      </c>
      <c r="BF366" s="49">
        <v>0</v>
      </c>
      <c r="BG366" s="50">
        <v>0</v>
      </c>
      <c r="BH366" s="49">
        <v>0</v>
      </c>
      <c r="BI366" s="50">
        <v>0</v>
      </c>
      <c r="BJ366" s="49">
        <v>0</v>
      </c>
      <c r="BK366" s="50">
        <v>0</v>
      </c>
      <c r="BL366" s="49">
        <v>34</v>
      </c>
      <c r="BM366" s="50">
        <v>100</v>
      </c>
      <c r="BN366" s="49">
        <v>34</v>
      </c>
    </row>
    <row r="367" spans="1:66" ht="15">
      <c r="A367" s="65" t="s">
        <v>341</v>
      </c>
      <c r="B367" s="65" t="s">
        <v>378</v>
      </c>
      <c r="C367" s="66" t="s">
        <v>2820</v>
      </c>
      <c r="D367" s="67">
        <v>10</v>
      </c>
      <c r="E367" s="66" t="s">
        <v>136</v>
      </c>
      <c r="F367" s="69">
        <v>12.5</v>
      </c>
      <c r="G367" s="66"/>
      <c r="H367" s="70"/>
      <c r="I367" s="71"/>
      <c r="J367" s="71"/>
      <c r="K367" s="35" t="s">
        <v>65</v>
      </c>
      <c r="L367" s="72">
        <v>367</v>
      </c>
      <c r="M367" s="72"/>
      <c r="N367" s="73"/>
      <c r="O367" s="80" t="s">
        <v>406</v>
      </c>
      <c r="P367" s="82">
        <v>44479.95909722222</v>
      </c>
      <c r="Q367" s="80" t="s">
        <v>489</v>
      </c>
      <c r="R367"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7" s="80" t="s">
        <v>535</v>
      </c>
      <c r="T367" s="80"/>
      <c r="U367" s="80"/>
      <c r="V367" s="85" t="str">
        <f>HYPERLINK("https://pbs.twimg.com/profile_images/879700936704315392/WxI5eCW5_normal.jpg")</f>
        <v>https://pbs.twimg.com/profile_images/879700936704315392/WxI5eCW5_normal.jpg</v>
      </c>
      <c r="W367" s="82">
        <v>44479.95909722222</v>
      </c>
      <c r="X367" s="87">
        <v>44479</v>
      </c>
      <c r="Y367" s="83" t="s">
        <v>714</v>
      </c>
      <c r="Z367" s="85" t="str">
        <f>HYPERLINK("https://twitter.com/economistpods/status/1447336418074931203")</f>
        <v>https://twitter.com/economistpods/status/1447336418074931203</v>
      </c>
      <c r="AA367" s="80"/>
      <c r="AB367" s="80"/>
      <c r="AC367" s="83" t="s">
        <v>901</v>
      </c>
      <c r="AD367" s="80"/>
      <c r="AE367" s="80" t="b">
        <v>0</v>
      </c>
      <c r="AF367" s="80">
        <v>0</v>
      </c>
      <c r="AG367" s="83" t="s">
        <v>952</v>
      </c>
      <c r="AH367" s="80" t="b">
        <v>0</v>
      </c>
      <c r="AI367" s="80" t="s">
        <v>967</v>
      </c>
      <c r="AJ367" s="80"/>
      <c r="AK367" s="83" t="s">
        <v>952</v>
      </c>
      <c r="AL367" s="80" t="b">
        <v>0</v>
      </c>
      <c r="AM367" s="80">
        <v>0</v>
      </c>
      <c r="AN367" s="83" t="s">
        <v>952</v>
      </c>
      <c r="AO367" s="83" t="s">
        <v>990</v>
      </c>
      <c r="AP367" s="80" t="b">
        <v>0</v>
      </c>
      <c r="AQ367" s="83" t="s">
        <v>901</v>
      </c>
      <c r="AR367" s="80" t="s">
        <v>196</v>
      </c>
      <c r="AS367" s="80">
        <v>0</v>
      </c>
      <c r="AT367" s="80">
        <v>0</v>
      </c>
      <c r="AU367" s="80"/>
      <c r="AV367" s="80"/>
      <c r="AW367" s="80"/>
      <c r="AX367" s="80"/>
      <c r="AY367" s="80"/>
      <c r="AZ367" s="80"/>
      <c r="BA367" s="80"/>
      <c r="BB367" s="80"/>
      <c r="BC367">
        <v>7</v>
      </c>
      <c r="BD367" s="79" t="str">
        <f>REPLACE(INDEX(GroupVertices[Group],MATCH(Edges[[#This Row],[Vertex 1]],GroupVertices[Vertex],0)),1,1,"")</f>
        <v>1</v>
      </c>
      <c r="BE367" s="79" t="str">
        <f>REPLACE(INDEX(GroupVertices[Group],MATCH(Edges[[#This Row],[Vertex 2]],GroupVertices[Vertex],0)),1,1,"")</f>
        <v>1</v>
      </c>
      <c r="BF367" s="49">
        <v>0</v>
      </c>
      <c r="BG367" s="50">
        <v>0</v>
      </c>
      <c r="BH367" s="49">
        <v>0</v>
      </c>
      <c r="BI367" s="50">
        <v>0</v>
      </c>
      <c r="BJ367" s="49">
        <v>0</v>
      </c>
      <c r="BK367" s="50">
        <v>0</v>
      </c>
      <c r="BL367" s="49">
        <v>34</v>
      </c>
      <c r="BM367" s="50">
        <v>100</v>
      </c>
      <c r="BN367" s="49">
        <v>34</v>
      </c>
    </row>
    <row r="368" spans="1:66" ht="15">
      <c r="A368" s="65" t="s">
        <v>341</v>
      </c>
      <c r="B368" s="65" t="s">
        <v>378</v>
      </c>
      <c r="C368" s="66" t="s">
        <v>2820</v>
      </c>
      <c r="D368" s="67">
        <v>10</v>
      </c>
      <c r="E368" s="66" t="s">
        <v>136</v>
      </c>
      <c r="F368" s="69">
        <v>12.5</v>
      </c>
      <c r="G368" s="66"/>
      <c r="H368" s="70"/>
      <c r="I368" s="71"/>
      <c r="J368" s="71"/>
      <c r="K368" s="35" t="s">
        <v>65</v>
      </c>
      <c r="L368" s="72">
        <v>368</v>
      </c>
      <c r="M368" s="72"/>
      <c r="N368" s="73"/>
      <c r="O368" s="80" t="s">
        <v>406</v>
      </c>
      <c r="P368" s="82">
        <v>44480.959085648145</v>
      </c>
      <c r="Q368" s="80" t="s">
        <v>490</v>
      </c>
      <c r="R368"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368" s="80" t="s">
        <v>535</v>
      </c>
      <c r="T368" s="80"/>
      <c r="U368" s="80"/>
      <c r="V368" s="85" t="str">
        <f>HYPERLINK("https://pbs.twimg.com/profile_images/879700936704315392/WxI5eCW5_normal.jpg")</f>
        <v>https://pbs.twimg.com/profile_images/879700936704315392/WxI5eCW5_normal.jpg</v>
      </c>
      <c r="W368" s="82">
        <v>44480.959085648145</v>
      </c>
      <c r="X368" s="87">
        <v>44480</v>
      </c>
      <c r="Y368" s="83" t="s">
        <v>715</v>
      </c>
      <c r="Z368" s="85" t="str">
        <f>HYPERLINK("https://twitter.com/economistpods/status/1447698798541688836")</f>
        <v>https://twitter.com/economistpods/status/1447698798541688836</v>
      </c>
      <c r="AA368" s="80"/>
      <c r="AB368" s="80"/>
      <c r="AC368" s="83" t="s">
        <v>902</v>
      </c>
      <c r="AD368" s="80"/>
      <c r="AE368" s="80" t="b">
        <v>0</v>
      </c>
      <c r="AF368" s="80">
        <v>0</v>
      </c>
      <c r="AG368" s="83" t="s">
        <v>952</v>
      </c>
      <c r="AH368" s="80" t="b">
        <v>0</v>
      </c>
      <c r="AI368" s="80" t="s">
        <v>967</v>
      </c>
      <c r="AJ368" s="80"/>
      <c r="AK368" s="83" t="s">
        <v>952</v>
      </c>
      <c r="AL368" s="80" t="b">
        <v>0</v>
      </c>
      <c r="AM368" s="80">
        <v>0</v>
      </c>
      <c r="AN368" s="83" t="s">
        <v>952</v>
      </c>
      <c r="AO368" s="83" t="s">
        <v>990</v>
      </c>
      <c r="AP368" s="80" t="b">
        <v>0</v>
      </c>
      <c r="AQ368" s="83" t="s">
        <v>902</v>
      </c>
      <c r="AR368" s="80" t="s">
        <v>196</v>
      </c>
      <c r="AS368" s="80">
        <v>0</v>
      </c>
      <c r="AT368" s="80">
        <v>0</v>
      </c>
      <c r="AU368" s="80"/>
      <c r="AV368" s="80"/>
      <c r="AW368" s="80"/>
      <c r="AX368" s="80"/>
      <c r="AY368" s="80"/>
      <c r="AZ368" s="80"/>
      <c r="BA368" s="80"/>
      <c r="BB368" s="80"/>
      <c r="BC368">
        <v>7</v>
      </c>
      <c r="BD368" s="79" t="str">
        <f>REPLACE(INDEX(GroupVertices[Group],MATCH(Edges[[#This Row],[Vertex 1]],GroupVertices[Vertex],0)),1,1,"")</f>
        <v>1</v>
      </c>
      <c r="BE368" s="79" t="str">
        <f>REPLACE(INDEX(GroupVertices[Group],MATCH(Edges[[#This Row],[Vertex 2]],GroupVertices[Vertex],0)),1,1,"")</f>
        <v>1</v>
      </c>
      <c r="BF368" s="49">
        <v>0</v>
      </c>
      <c r="BG368" s="50">
        <v>0</v>
      </c>
      <c r="BH368" s="49">
        <v>0</v>
      </c>
      <c r="BI368" s="50">
        <v>0</v>
      </c>
      <c r="BJ368" s="49">
        <v>0</v>
      </c>
      <c r="BK368" s="50">
        <v>0</v>
      </c>
      <c r="BL368" s="49">
        <v>34</v>
      </c>
      <c r="BM368" s="50">
        <v>100</v>
      </c>
      <c r="BN368" s="49">
        <v>34</v>
      </c>
    </row>
    <row r="369" spans="1:66" ht="15">
      <c r="A369" s="65" t="s">
        <v>343</v>
      </c>
      <c r="B369" s="65" t="s">
        <v>343</v>
      </c>
      <c r="C369" s="66" t="s">
        <v>2815</v>
      </c>
      <c r="D369" s="67">
        <v>3</v>
      </c>
      <c r="E369" s="66" t="s">
        <v>132</v>
      </c>
      <c r="F369" s="69">
        <v>32</v>
      </c>
      <c r="G369" s="66"/>
      <c r="H369" s="70"/>
      <c r="I369" s="71"/>
      <c r="J369" s="71"/>
      <c r="K369" s="35" t="s">
        <v>65</v>
      </c>
      <c r="L369" s="72">
        <v>369</v>
      </c>
      <c r="M369" s="72"/>
      <c r="N369" s="73"/>
      <c r="O369" s="80" t="s">
        <v>196</v>
      </c>
      <c r="P369" s="82">
        <v>44481.167037037034</v>
      </c>
      <c r="Q369" s="80" t="s">
        <v>491</v>
      </c>
      <c r="R369" s="85" t="str">
        <f>HYPERLINK("https://www.wired.co.uk/article/meat-carbon-footprint-animals")</f>
        <v>https://www.wired.co.uk/article/meat-carbon-footprint-animals</v>
      </c>
      <c r="S369" s="80" t="s">
        <v>542</v>
      </c>
      <c r="T369" s="83" t="s">
        <v>561</v>
      </c>
      <c r="U369" s="80"/>
      <c r="V369" s="85" t="str">
        <f>HYPERLINK("https://pbs.twimg.com/profile_images/842734129359679488/t5zxgDx8_normal.jpg")</f>
        <v>https://pbs.twimg.com/profile_images/842734129359679488/t5zxgDx8_normal.jpg</v>
      </c>
      <c r="W369" s="82">
        <v>44481.167037037034</v>
      </c>
      <c r="X369" s="87">
        <v>44481</v>
      </c>
      <c r="Y369" s="83" t="s">
        <v>716</v>
      </c>
      <c r="Z369" s="85" t="str">
        <f>HYPERLINK("https://twitter.com/leongreyco/status/1447774158537039872")</f>
        <v>https://twitter.com/leongreyco/status/1447774158537039872</v>
      </c>
      <c r="AA369" s="80"/>
      <c r="AB369" s="80"/>
      <c r="AC369" s="83" t="s">
        <v>903</v>
      </c>
      <c r="AD369" s="80"/>
      <c r="AE369" s="80" t="b">
        <v>0</v>
      </c>
      <c r="AF369" s="80">
        <v>0</v>
      </c>
      <c r="AG369" s="83" t="s">
        <v>952</v>
      </c>
      <c r="AH369" s="80" t="b">
        <v>0</v>
      </c>
      <c r="AI369" s="80" t="s">
        <v>967</v>
      </c>
      <c r="AJ369" s="80"/>
      <c r="AK369" s="83" t="s">
        <v>952</v>
      </c>
      <c r="AL369" s="80" t="b">
        <v>0</v>
      </c>
      <c r="AM369" s="80">
        <v>0</v>
      </c>
      <c r="AN369" s="83" t="s">
        <v>952</v>
      </c>
      <c r="AO369" s="83" t="s">
        <v>974</v>
      </c>
      <c r="AP369" s="80" t="b">
        <v>0</v>
      </c>
      <c r="AQ369" s="83" t="s">
        <v>903</v>
      </c>
      <c r="AR369" s="80" t="s">
        <v>196</v>
      </c>
      <c r="AS369" s="80">
        <v>0</v>
      </c>
      <c r="AT369" s="80">
        <v>0</v>
      </c>
      <c r="AU369" s="80"/>
      <c r="AV369" s="80"/>
      <c r="AW369" s="80"/>
      <c r="AX369" s="80"/>
      <c r="AY369" s="80"/>
      <c r="AZ369" s="80"/>
      <c r="BA369" s="80"/>
      <c r="BB369" s="80"/>
      <c r="BC369">
        <v>1</v>
      </c>
      <c r="BD369" s="79" t="str">
        <f>REPLACE(INDEX(GroupVertices[Group],MATCH(Edges[[#This Row],[Vertex 1]],GroupVertices[Vertex],0)),1,1,"")</f>
        <v>2</v>
      </c>
      <c r="BE369" s="79" t="str">
        <f>REPLACE(INDEX(GroupVertices[Group],MATCH(Edges[[#This Row],[Vertex 2]],GroupVertices[Vertex],0)),1,1,"")</f>
        <v>2</v>
      </c>
      <c r="BF369" s="49">
        <v>0</v>
      </c>
      <c r="BG369" s="50">
        <v>0</v>
      </c>
      <c r="BH369" s="49">
        <v>1</v>
      </c>
      <c r="BI369" s="50">
        <v>5.555555555555555</v>
      </c>
      <c r="BJ369" s="49">
        <v>0</v>
      </c>
      <c r="BK369" s="50">
        <v>0</v>
      </c>
      <c r="BL369" s="49">
        <v>17</v>
      </c>
      <c r="BM369" s="50">
        <v>94.44444444444444</v>
      </c>
      <c r="BN369" s="49">
        <v>18</v>
      </c>
    </row>
    <row r="370" spans="1:66" ht="15">
      <c r="A370" s="65" t="s">
        <v>344</v>
      </c>
      <c r="B370" s="65" t="s">
        <v>353</v>
      </c>
      <c r="C370" s="66" t="s">
        <v>2815</v>
      </c>
      <c r="D370" s="67">
        <v>3</v>
      </c>
      <c r="E370" s="66" t="s">
        <v>132</v>
      </c>
      <c r="F370" s="69">
        <v>32</v>
      </c>
      <c r="G370" s="66"/>
      <c r="H370" s="70"/>
      <c r="I370" s="71"/>
      <c r="J370" s="71"/>
      <c r="K370" s="35" t="s">
        <v>65</v>
      </c>
      <c r="L370" s="72">
        <v>370</v>
      </c>
      <c r="M370" s="72"/>
      <c r="N370" s="73"/>
      <c r="O370" s="80" t="s">
        <v>408</v>
      </c>
      <c r="P370" s="82">
        <v>44481.20359953704</v>
      </c>
      <c r="Q370" s="80" t="s">
        <v>492</v>
      </c>
      <c r="R370" s="85" t="str">
        <f>HYPERLINK("https://www.greenqueen.com.hk/animal-alternative-technologies-renaissance-farm-cell-based-meat/?utm_content=bufferec53f&amp;utm_medium=social&amp;utm_source=twitter.com&amp;utm_campaign=buffer")</f>
        <v>https://www.greenqueen.com.hk/animal-alternative-technologies-renaissance-farm-cell-based-meat/?utm_content=bufferec53f&amp;utm_medium=social&amp;utm_source=twitter.com&amp;utm_campaign=buffer</v>
      </c>
      <c r="S370" s="80" t="s">
        <v>525</v>
      </c>
      <c r="T370" s="80"/>
      <c r="U370" s="80"/>
      <c r="V370" s="85" t="str">
        <f>HYPERLINK("https://pbs.twimg.com/profile_images/1290760502059048960/2-vVagmU_normal.jpg")</f>
        <v>https://pbs.twimg.com/profile_images/1290760502059048960/2-vVagmU_normal.jpg</v>
      </c>
      <c r="W370" s="82">
        <v>44481.20359953704</v>
      </c>
      <c r="X370" s="87">
        <v>44481</v>
      </c>
      <c r="Y370" s="83" t="s">
        <v>717</v>
      </c>
      <c r="Z370" s="85" t="str">
        <f>HYPERLINK("https://twitter.com/davehansford4/status/1447787407684763651")</f>
        <v>https://twitter.com/davehansford4/status/1447787407684763651</v>
      </c>
      <c r="AA370" s="80"/>
      <c r="AB370" s="80"/>
      <c r="AC370" s="83" t="s">
        <v>904</v>
      </c>
      <c r="AD370" s="80"/>
      <c r="AE370" s="80" t="b">
        <v>0</v>
      </c>
      <c r="AF370" s="80">
        <v>0</v>
      </c>
      <c r="AG370" s="83" t="s">
        <v>952</v>
      </c>
      <c r="AH370" s="80" t="b">
        <v>0</v>
      </c>
      <c r="AI370" s="80" t="s">
        <v>967</v>
      </c>
      <c r="AJ370" s="80"/>
      <c r="AK370" s="83" t="s">
        <v>952</v>
      </c>
      <c r="AL370" s="80" t="b">
        <v>0</v>
      </c>
      <c r="AM370" s="80">
        <v>2</v>
      </c>
      <c r="AN370" s="83" t="s">
        <v>919</v>
      </c>
      <c r="AO370" s="83" t="s">
        <v>982</v>
      </c>
      <c r="AP370" s="80" t="b">
        <v>0</v>
      </c>
      <c r="AQ370" s="83" t="s">
        <v>919</v>
      </c>
      <c r="AR370" s="80" t="s">
        <v>196</v>
      </c>
      <c r="AS370" s="80">
        <v>0</v>
      </c>
      <c r="AT370" s="80">
        <v>0</v>
      </c>
      <c r="AU370" s="80"/>
      <c r="AV370" s="80"/>
      <c r="AW370" s="80"/>
      <c r="AX370" s="80"/>
      <c r="AY370" s="80"/>
      <c r="AZ370" s="80"/>
      <c r="BA370" s="80"/>
      <c r="BB370" s="80"/>
      <c r="BC370">
        <v>1</v>
      </c>
      <c r="BD370" s="79" t="str">
        <f>REPLACE(INDEX(GroupVertices[Group],MATCH(Edges[[#This Row],[Vertex 1]],GroupVertices[Vertex],0)),1,1,"")</f>
        <v>3</v>
      </c>
      <c r="BE370" s="79" t="str">
        <f>REPLACE(INDEX(GroupVertices[Group],MATCH(Edges[[#This Row],[Vertex 2]],GroupVertices[Vertex],0)),1,1,"")</f>
        <v>3</v>
      </c>
      <c r="BF370" s="49">
        <v>2</v>
      </c>
      <c r="BG370" s="50">
        <v>5.405405405405405</v>
      </c>
      <c r="BH370" s="49">
        <v>0</v>
      </c>
      <c r="BI370" s="50">
        <v>0</v>
      </c>
      <c r="BJ370" s="49">
        <v>0</v>
      </c>
      <c r="BK370" s="50">
        <v>0</v>
      </c>
      <c r="BL370" s="49">
        <v>35</v>
      </c>
      <c r="BM370" s="50">
        <v>94.5945945945946</v>
      </c>
      <c r="BN370" s="49">
        <v>37</v>
      </c>
    </row>
    <row r="371" spans="1:66" ht="15">
      <c r="A371" s="65" t="s">
        <v>345</v>
      </c>
      <c r="B371" s="65" t="s">
        <v>397</v>
      </c>
      <c r="C371" s="66" t="s">
        <v>2815</v>
      </c>
      <c r="D371" s="67">
        <v>3</v>
      </c>
      <c r="E371" s="66" t="s">
        <v>132</v>
      </c>
      <c r="F371" s="69">
        <v>32</v>
      </c>
      <c r="G371" s="66"/>
      <c r="H371" s="70"/>
      <c r="I371" s="71"/>
      <c r="J371" s="71"/>
      <c r="K371" s="35" t="s">
        <v>65</v>
      </c>
      <c r="L371" s="72">
        <v>371</v>
      </c>
      <c r="M371" s="72"/>
      <c r="N371" s="73"/>
      <c r="O371" s="80" t="s">
        <v>406</v>
      </c>
      <c r="P371" s="82">
        <v>44481.397777777776</v>
      </c>
      <c r="Q371" s="80" t="s">
        <v>493</v>
      </c>
      <c r="R371" s="80"/>
      <c r="S371" s="80"/>
      <c r="T371" s="80"/>
      <c r="U371" s="80"/>
      <c r="V371" s="85" t="str">
        <f>HYPERLINK("https://pbs.twimg.com/profile_images/1336916721060417537/gYRNf3h-_normal.jpg")</f>
        <v>https://pbs.twimg.com/profile_images/1336916721060417537/gYRNf3h-_normal.jpg</v>
      </c>
      <c r="W371" s="82">
        <v>44481.397777777776</v>
      </c>
      <c r="X371" s="87">
        <v>44481</v>
      </c>
      <c r="Y371" s="83" t="s">
        <v>718</v>
      </c>
      <c r="Z371" s="85" t="str">
        <f>HYPERLINK("https://twitter.com/sethduma/status/1447857778102607875")</f>
        <v>https://twitter.com/sethduma/status/1447857778102607875</v>
      </c>
      <c r="AA371" s="80"/>
      <c r="AB371" s="80"/>
      <c r="AC371" s="83" t="s">
        <v>905</v>
      </c>
      <c r="AD371" s="83" t="s">
        <v>947</v>
      </c>
      <c r="AE371" s="80" t="b">
        <v>0</v>
      </c>
      <c r="AF371" s="80">
        <v>4</v>
      </c>
      <c r="AG371" s="83" t="s">
        <v>963</v>
      </c>
      <c r="AH371" s="80" t="b">
        <v>0</v>
      </c>
      <c r="AI371" s="80" t="s">
        <v>967</v>
      </c>
      <c r="AJ371" s="80"/>
      <c r="AK371" s="83" t="s">
        <v>952</v>
      </c>
      <c r="AL371" s="80" t="b">
        <v>0</v>
      </c>
      <c r="AM371" s="80">
        <v>0</v>
      </c>
      <c r="AN371" s="83" t="s">
        <v>952</v>
      </c>
      <c r="AO371" s="83" t="s">
        <v>976</v>
      </c>
      <c r="AP371" s="80" t="b">
        <v>0</v>
      </c>
      <c r="AQ371" s="83" t="s">
        <v>947</v>
      </c>
      <c r="AR371" s="80" t="s">
        <v>196</v>
      </c>
      <c r="AS371" s="80">
        <v>0</v>
      </c>
      <c r="AT371" s="80">
        <v>0</v>
      </c>
      <c r="AU371" s="80"/>
      <c r="AV371" s="80"/>
      <c r="AW371" s="80"/>
      <c r="AX371" s="80"/>
      <c r="AY371" s="80"/>
      <c r="AZ371" s="80"/>
      <c r="BA371" s="80"/>
      <c r="BB371" s="80"/>
      <c r="BC371">
        <v>1</v>
      </c>
      <c r="BD371" s="79" t="str">
        <f>REPLACE(INDEX(GroupVertices[Group],MATCH(Edges[[#This Row],[Vertex 1]],GroupVertices[Vertex],0)),1,1,"")</f>
        <v>11</v>
      </c>
      <c r="BE371" s="79" t="str">
        <f>REPLACE(INDEX(GroupVertices[Group],MATCH(Edges[[#This Row],[Vertex 2]],GroupVertices[Vertex],0)),1,1,"")</f>
        <v>11</v>
      </c>
      <c r="BF371" s="49"/>
      <c r="BG371" s="50"/>
      <c r="BH371" s="49"/>
      <c r="BI371" s="50"/>
      <c r="BJ371" s="49"/>
      <c r="BK371" s="50"/>
      <c r="BL371" s="49"/>
      <c r="BM371" s="50"/>
      <c r="BN371" s="49"/>
    </row>
    <row r="372" spans="1:66" ht="15">
      <c r="A372" s="65" t="s">
        <v>345</v>
      </c>
      <c r="B372" s="65" t="s">
        <v>398</v>
      </c>
      <c r="C372" s="66" t="s">
        <v>2815</v>
      </c>
      <c r="D372" s="67">
        <v>3</v>
      </c>
      <c r="E372" s="66" t="s">
        <v>132</v>
      </c>
      <c r="F372" s="69">
        <v>32</v>
      </c>
      <c r="G372" s="66"/>
      <c r="H372" s="70"/>
      <c r="I372" s="71"/>
      <c r="J372" s="71"/>
      <c r="K372" s="35" t="s">
        <v>65</v>
      </c>
      <c r="L372" s="72">
        <v>372</v>
      </c>
      <c r="M372" s="72"/>
      <c r="N372" s="73"/>
      <c r="O372" s="80" t="s">
        <v>406</v>
      </c>
      <c r="P372" s="82">
        <v>44481.397777777776</v>
      </c>
      <c r="Q372" s="80" t="s">
        <v>493</v>
      </c>
      <c r="R372" s="80"/>
      <c r="S372" s="80"/>
      <c r="T372" s="80"/>
      <c r="U372" s="80"/>
      <c r="V372" s="85" t="str">
        <f>HYPERLINK("https://pbs.twimg.com/profile_images/1336916721060417537/gYRNf3h-_normal.jpg")</f>
        <v>https://pbs.twimg.com/profile_images/1336916721060417537/gYRNf3h-_normal.jpg</v>
      </c>
      <c r="W372" s="82">
        <v>44481.397777777776</v>
      </c>
      <c r="X372" s="87">
        <v>44481</v>
      </c>
      <c r="Y372" s="83" t="s">
        <v>718</v>
      </c>
      <c r="Z372" s="85" t="str">
        <f>HYPERLINK("https://twitter.com/sethduma/status/1447857778102607875")</f>
        <v>https://twitter.com/sethduma/status/1447857778102607875</v>
      </c>
      <c r="AA372" s="80"/>
      <c r="AB372" s="80"/>
      <c r="AC372" s="83" t="s">
        <v>905</v>
      </c>
      <c r="AD372" s="83" t="s">
        <v>947</v>
      </c>
      <c r="AE372" s="80" t="b">
        <v>0</v>
      </c>
      <c r="AF372" s="80">
        <v>4</v>
      </c>
      <c r="AG372" s="83" t="s">
        <v>963</v>
      </c>
      <c r="AH372" s="80" t="b">
        <v>0</v>
      </c>
      <c r="AI372" s="80" t="s">
        <v>967</v>
      </c>
      <c r="AJ372" s="80"/>
      <c r="AK372" s="83" t="s">
        <v>952</v>
      </c>
      <c r="AL372" s="80" t="b">
        <v>0</v>
      </c>
      <c r="AM372" s="80">
        <v>0</v>
      </c>
      <c r="AN372" s="83" t="s">
        <v>952</v>
      </c>
      <c r="AO372" s="83" t="s">
        <v>976</v>
      </c>
      <c r="AP372" s="80" t="b">
        <v>0</v>
      </c>
      <c r="AQ372" s="83" t="s">
        <v>947</v>
      </c>
      <c r="AR372" s="80" t="s">
        <v>196</v>
      </c>
      <c r="AS372" s="80">
        <v>0</v>
      </c>
      <c r="AT372" s="80">
        <v>0</v>
      </c>
      <c r="AU372" s="80"/>
      <c r="AV372" s="80"/>
      <c r="AW372" s="80"/>
      <c r="AX372" s="80"/>
      <c r="AY372" s="80"/>
      <c r="AZ372" s="80"/>
      <c r="BA372" s="80"/>
      <c r="BB372" s="80"/>
      <c r="BC372">
        <v>1</v>
      </c>
      <c r="BD372" s="79" t="str">
        <f>REPLACE(INDEX(GroupVertices[Group],MATCH(Edges[[#This Row],[Vertex 1]],GroupVertices[Vertex],0)),1,1,"")</f>
        <v>11</v>
      </c>
      <c r="BE372" s="79" t="str">
        <f>REPLACE(INDEX(GroupVertices[Group],MATCH(Edges[[#This Row],[Vertex 2]],GroupVertices[Vertex],0)),1,1,"")</f>
        <v>11</v>
      </c>
      <c r="BF372" s="49"/>
      <c r="BG372" s="50"/>
      <c r="BH372" s="49"/>
      <c r="BI372" s="50"/>
      <c r="BJ372" s="49"/>
      <c r="BK372" s="50"/>
      <c r="BL372" s="49"/>
      <c r="BM372" s="50"/>
      <c r="BN372" s="49"/>
    </row>
    <row r="373" spans="1:66" ht="15">
      <c r="A373" s="65" t="s">
        <v>345</v>
      </c>
      <c r="B373" s="65" t="s">
        <v>399</v>
      </c>
      <c r="C373" s="66" t="s">
        <v>2815</v>
      </c>
      <c r="D373" s="67">
        <v>3</v>
      </c>
      <c r="E373" s="66" t="s">
        <v>132</v>
      </c>
      <c r="F373" s="69">
        <v>32</v>
      </c>
      <c r="G373" s="66"/>
      <c r="H373" s="70"/>
      <c r="I373" s="71"/>
      <c r="J373" s="71"/>
      <c r="K373" s="35" t="s">
        <v>65</v>
      </c>
      <c r="L373" s="72">
        <v>373</v>
      </c>
      <c r="M373" s="72"/>
      <c r="N373" s="73"/>
      <c r="O373" s="80" t="s">
        <v>406</v>
      </c>
      <c r="P373" s="82">
        <v>44481.397777777776</v>
      </c>
      <c r="Q373" s="80" t="s">
        <v>493</v>
      </c>
      <c r="R373" s="80"/>
      <c r="S373" s="80"/>
      <c r="T373" s="80"/>
      <c r="U373" s="80"/>
      <c r="V373" s="85" t="str">
        <f>HYPERLINK("https://pbs.twimg.com/profile_images/1336916721060417537/gYRNf3h-_normal.jpg")</f>
        <v>https://pbs.twimg.com/profile_images/1336916721060417537/gYRNf3h-_normal.jpg</v>
      </c>
      <c r="W373" s="82">
        <v>44481.397777777776</v>
      </c>
      <c r="X373" s="87">
        <v>44481</v>
      </c>
      <c r="Y373" s="83" t="s">
        <v>718</v>
      </c>
      <c r="Z373" s="85" t="str">
        <f>HYPERLINK("https://twitter.com/sethduma/status/1447857778102607875")</f>
        <v>https://twitter.com/sethduma/status/1447857778102607875</v>
      </c>
      <c r="AA373" s="80"/>
      <c r="AB373" s="80"/>
      <c r="AC373" s="83" t="s">
        <v>905</v>
      </c>
      <c r="AD373" s="83" t="s">
        <v>947</v>
      </c>
      <c r="AE373" s="80" t="b">
        <v>0</v>
      </c>
      <c r="AF373" s="80">
        <v>4</v>
      </c>
      <c r="AG373" s="83" t="s">
        <v>963</v>
      </c>
      <c r="AH373" s="80" t="b">
        <v>0</v>
      </c>
      <c r="AI373" s="80" t="s">
        <v>967</v>
      </c>
      <c r="AJ373" s="80"/>
      <c r="AK373" s="83" t="s">
        <v>952</v>
      </c>
      <c r="AL373" s="80" t="b">
        <v>0</v>
      </c>
      <c r="AM373" s="80">
        <v>0</v>
      </c>
      <c r="AN373" s="83" t="s">
        <v>952</v>
      </c>
      <c r="AO373" s="83" t="s">
        <v>976</v>
      </c>
      <c r="AP373" s="80" t="b">
        <v>0</v>
      </c>
      <c r="AQ373" s="83" t="s">
        <v>947</v>
      </c>
      <c r="AR373" s="80" t="s">
        <v>196</v>
      </c>
      <c r="AS373" s="80">
        <v>0</v>
      </c>
      <c r="AT373" s="80">
        <v>0</v>
      </c>
      <c r="AU373" s="80"/>
      <c r="AV373" s="80"/>
      <c r="AW373" s="80"/>
      <c r="AX373" s="80"/>
      <c r="AY373" s="80"/>
      <c r="AZ373" s="80"/>
      <c r="BA373" s="80"/>
      <c r="BB373" s="80"/>
      <c r="BC373">
        <v>1</v>
      </c>
      <c r="BD373" s="79" t="str">
        <f>REPLACE(INDEX(GroupVertices[Group],MATCH(Edges[[#This Row],[Vertex 1]],GroupVertices[Vertex],0)),1,1,"")</f>
        <v>11</v>
      </c>
      <c r="BE373" s="79" t="str">
        <f>REPLACE(INDEX(GroupVertices[Group],MATCH(Edges[[#This Row],[Vertex 2]],GroupVertices[Vertex],0)),1,1,"")</f>
        <v>11</v>
      </c>
      <c r="BF373" s="49"/>
      <c r="BG373" s="50"/>
      <c r="BH373" s="49"/>
      <c r="BI373" s="50"/>
      <c r="BJ373" s="49"/>
      <c r="BK373" s="50"/>
      <c r="BL373" s="49"/>
      <c r="BM373" s="50"/>
      <c r="BN373" s="49"/>
    </row>
    <row r="374" spans="1:66" ht="15">
      <c r="A374" s="65" t="s">
        <v>345</v>
      </c>
      <c r="B374" s="65" t="s">
        <v>400</v>
      </c>
      <c r="C374" s="66" t="s">
        <v>2815</v>
      </c>
      <c r="D374" s="67">
        <v>3</v>
      </c>
      <c r="E374" s="66" t="s">
        <v>132</v>
      </c>
      <c r="F374" s="69">
        <v>32</v>
      </c>
      <c r="G374" s="66"/>
      <c r="H374" s="70"/>
      <c r="I374" s="71"/>
      <c r="J374" s="71"/>
      <c r="K374" s="35" t="s">
        <v>65</v>
      </c>
      <c r="L374" s="72">
        <v>374</v>
      </c>
      <c r="M374" s="72"/>
      <c r="N374" s="73"/>
      <c r="O374" s="80" t="s">
        <v>409</v>
      </c>
      <c r="P374" s="82">
        <v>44481.397777777776</v>
      </c>
      <c r="Q374" s="80" t="s">
        <v>493</v>
      </c>
      <c r="R374" s="80"/>
      <c r="S374" s="80"/>
      <c r="T374" s="80"/>
      <c r="U374" s="80"/>
      <c r="V374" s="85" t="str">
        <f>HYPERLINK("https://pbs.twimg.com/profile_images/1336916721060417537/gYRNf3h-_normal.jpg")</f>
        <v>https://pbs.twimg.com/profile_images/1336916721060417537/gYRNf3h-_normal.jpg</v>
      </c>
      <c r="W374" s="82">
        <v>44481.397777777776</v>
      </c>
      <c r="X374" s="87">
        <v>44481</v>
      </c>
      <c r="Y374" s="83" t="s">
        <v>718</v>
      </c>
      <c r="Z374" s="85" t="str">
        <f>HYPERLINK("https://twitter.com/sethduma/status/1447857778102607875")</f>
        <v>https://twitter.com/sethduma/status/1447857778102607875</v>
      </c>
      <c r="AA374" s="80"/>
      <c r="AB374" s="80"/>
      <c r="AC374" s="83" t="s">
        <v>905</v>
      </c>
      <c r="AD374" s="83" t="s">
        <v>947</v>
      </c>
      <c r="AE374" s="80" t="b">
        <v>0</v>
      </c>
      <c r="AF374" s="80">
        <v>4</v>
      </c>
      <c r="AG374" s="83" t="s">
        <v>963</v>
      </c>
      <c r="AH374" s="80" t="b">
        <v>0</v>
      </c>
      <c r="AI374" s="80" t="s">
        <v>967</v>
      </c>
      <c r="AJ374" s="80"/>
      <c r="AK374" s="83" t="s">
        <v>952</v>
      </c>
      <c r="AL374" s="80" t="b">
        <v>0</v>
      </c>
      <c r="AM374" s="80">
        <v>0</v>
      </c>
      <c r="AN374" s="83" t="s">
        <v>952</v>
      </c>
      <c r="AO374" s="83" t="s">
        <v>976</v>
      </c>
      <c r="AP374" s="80" t="b">
        <v>0</v>
      </c>
      <c r="AQ374" s="83" t="s">
        <v>947</v>
      </c>
      <c r="AR374" s="80" t="s">
        <v>196</v>
      </c>
      <c r="AS374" s="80">
        <v>0</v>
      </c>
      <c r="AT374" s="80">
        <v>0</v>
      </c>
      <c r="AU374" s="80"/>
      <c r="AV374" s="80"/>
      <c r="AW374" s="80"/>
      <c r="AX374" s="80"/>
      <c r="AY374" s="80"/>
      <c r="AZ374" s="80"/>
      <c r="BA374" s="80"/>
      <c r="BB374" s="80"/>
      <c r="BC374">
        <v>1</v>
      </c>
      <c r="BD374" s="79" t="str">
        <f>REPLACE(INDEX(GroupVertices[Group],MATCH(Edges[[#This Row],[Vertex 1]],GroupVertices[Vertex],0)),1,1,"")</f>
        <v>11</v>
      </c>
      <c r="BE374" s="79" t="str">
        <f>REPLACE(INDEX(GroupVertices[Group],MATCH(Edges[[#This Row],[Vertex 2]],GroupVertices[Vertex],0)),1,1,"")</f>
        <v>11</v>
      </c>
      <c r="BF374" s="49">
        <v>0</v>
      </c>
      <c r="BG374" s="50">
        <v>0</v>
      </c>
      <c r="BH374" s="49">
        <v>1</v>
      </c>
      <c r="BI374" s="50">
        <v>1.6129032258064515</v>
      </c>
      <c r="BJ374" s="49">
        <v>0</v>
      </c>
      <c r="BK374" s="50">
        <v>0</v>
      </c>
      <c r="BL374" s="49">
        <v>61</v>
      </c>
      <c r="BM374" s="50">
        <v>98.38709677419355</v>
      </c>
      <c r="BN374" s="49">
        <v>62</v>
      </c>
    </row>
    <row r="375" spans="1:66" ht="15">
      <c r="A375" s="65" t="s">
        <v>346</v>
      </c>
      <c r="B375" s="65" t="s">
        <v>346</v>
      </c>
      <c r="C375" s="66" t="s">
        <v>2815</v>
      </c>
      <c r="D375" s="67">
        <v>3</v>
      </c>
      <c r="E375" s="66" t="s">
        <v>132</v>
      </c>
      <c r="F375" s="69">
        <v>32</v>
      </c>
      <c r="G375" s="66"/>
      <c r="H375" s="70"/>
      <c r="I375" s="71"/>
      <c r="J375" s="71"/>
      <c r="K375" s="35" t="s">
        <v>65</v>
      </c>
      <c r="L375" s="72">
        <v>375</v>
      </c>
      <c r="M375" s="72"/>
      <c r="N375" s="73"/>
      <c r="O375" s="80" t="s">
        <v>196</v>
      </c>
      <c r="P375" s="82">
        <v>44475.68188657407</v>
      </c>
      <c r="Q375" s="83" t="s">
        <v>428</v>
      </c>
      <c r="R375" s="85" t="str">
        <f>HYPERLINK("https://www.greenqueen.com.hk/amp/cell-based-meat-economy-boost/")</f>
        <v>https://www.greenqueen.com.hk/amp/cell-based-meat-economy-boost/</v>
      </c>
      <c r="S375" s="80" t="s">
        <v>525</v>
      </c>
      <c r="T375" s="83" t="s">
        <v>552</v>
      </c>
      <c r="U375" s="80"/>
      <c r="V375" s="85" t="str">
        <f>HYPERLINK("https://pbs.twimg.com/profile_images/1027550970333614080/c2BHjENS_normal.jpg")</f>
        <v>https://pbs.twimg.com/profile_images/1027550970333614080/c2BHjENS_normal.jpg</v>
      </c>
      <c r="W375" s="82">
        <v>44475.68188657407</v>
      </c>
      <c r="X375" s="87">
        <v>44475</v>
      </c>
      <c r="Y375" s="83" t="s">
        <v>719</v>
      </c>
      <c r="Z375" s="85" t="str">
        <f>HYPERLINK("https://twitter.com/roslintech/status/1445786407209893895")</f>
        <v>https://twitter.com/roslintech/status/1445786407209893895</v>
      </c>
      <c r="AA375" s="80"/>
      <c r="AB375" s="80"/>
      <c r="AC375" s="83" t="s">
        <v>906</v>
      </c>
      <c r="AD375" s="80"/>
      <c r="AE375" s="80" t="b">
        <v>0</v>
      </c>
      <c r="AF375" s="80">
        <v>1</v>
      </c>
      <c r="AG375" s="83" t="s">
        <v>952</v>
      </c>
      <c r="AH375" s="80" t="b">
        <v>0</v>
      </c>
      <c r="AI375" s="80" t="s">
        <v>967</v>
      </c>
      <c r="AJ375" s="80"/>
      <c r="AK375" s="83" t="s">
        <v>952</v>
      </c>
      <c r="AL375" s="80" t="b">
        <v>0</v>
      </c>
      <c r="AM375" s="80">
        <v>2</v>
      </c>
      <c r="AN375" s="83" t="s">
        <v>952</v>
      </c>
      <c r="AO375" s="83" t="s">
        <v>972</v>
      </c>
      <c r="AP375" s="80" t="b">
        <v>0</v>
      </c>
      <c r="AQ375" s="83" t="s">
        <v>906</v>
      </c>
      <c r="AR375" s="80" t="s">
        <v>196</v>
      </c>
      <c r="AS375" s="80">
        <v>0</v>
      </c>
      <c r="AT375" s="80">
        <v>0</v>
      </c>
      <c r="AU375" s="80"/>
      <c r="AV375" s="80"/>
      <c r="AW375" s="80"/>
      <c r="AX375" s="80"/>
      <c r="AY375" s="80"/>
      <c r="AZ375" s="80"/>
      <c r="BA375" s="80"/>
      <c r="BB375" s="80"/>
      <c r="BC375">
        <v>1</v>
      </c>
      <c r="BD375" s="79" t="str">
        <f>REPLACE(INDEX(GroupVertices[Group],MATCH(Edges[[#This Row],[Vertex 1]],GroupVertices[Vertex],0)),1,1,"")</f>
        <v>3</v>
      </c>
      <c r="BE375" s="79" t="str">
        <f>REPLACE(INDEX(GroupVertices[Group],MATCH(Edges[[#This Row],[Vertex 2]],GroupVertices[Vertex],0)),1,1,"")</f>
        <v>3</v>
      </c>
      <c r="BF375" s="49">
        <v>0</v>
      </c>
      <c r="BG375" s="50">
        <v>0</v>
      </c>
      <c r="BH375" s="49">
        <v>0</v>
      </c>
      <c r="BI375" s="50">
        <v>0</v>
      </c>
      <c r="BJ375" s="49">
        <v>0</v>
      </c>
      <c r="BK375" s="50">
        <v>0</v>
      </c>
      <c r="BL375" s="49">
        <v>38</v>
      </c>
      <c r="BM375" s="50">
        <v>100</v>
      </c>
      <c r="BN375" s="49">
        <v>38</v>
      </c>
    </row>
    <row r="376" spans="1:66" ht="15">
      <c r="A376" s="65" t="s">
        <v>347</v>
      </c>
      <c r="B376" s="65" t="s">
        <v>346</v>
      </c>
      <c r="C376" s="66" t="s">
        <v>2815</v>
      </c>
      <c r="D376" s="67">
        <v>3</v>
      </c>
      <c r="E376" s="66" t="s">
        <v>132</v>
      </c>
      <c r="F376" s="69">
        <v>32</v>
      </c>
      <c r="G376" s="66"/>
      <c r="H376" s="70"/>
      <c r="I376" s="71"/>
      <c r="J376" s="71"/>
      <c r="K376" s="35" t="s">
        <v>65</v>
      </c>
      <c r="L376" s="72">
        <v>376</v>
      </c>
      <c r="M376" s="72"/>
      <c r="N376" s="73"/>
      <c r="O376" s="80" t="s">
        <v>408</v>
      </c>
      <c r="P376" s="82">
        <v>44475.702060185184</v>
      </c>
      <c r="Q376" s="83" t="s">
        <v>428</v>
      </c>
      <c r="R376" s="85" t="str">
        <f>HYPERLINK("https://www.greenqueen.com.hk/amp/cell-based-meat-economy-boost/")</f>
        <v>https://www.greenqueen.com.hk/amp/cell-based-meat-economy-boost/</v>
      </c>
      <c r="S376" s="80" t="s">
        <v>525</v>
      </c>
      <c r="T376" s="83" t="s">
        <v>552</v>
      </c>
      <c r="U376" s="80"/>
      <c r="V376" s="85" t="str">
        <f>HYPERLINK("https://pbs.twimg.com/profile_images/1207023594204741634/oNEPNuoG_normal.jpg")</f>
        <v>https://pbs.twimg.com/profile_images/1207023594204741634/oNEPNuoG_normal.jpg</v>
      </c>
      <c r="W376" s="82">
        <v>44475.702060185184</v>
      </c>
      <c r="X376" s="87">
        <v>44475</v>
      </c>
      <c r="Y376" s="83" t="s">
        <v>720</v>
      </c>
      <c r="Z376" s="85" t="str">
        <f>HYPERLINK("https://twitter.com/craftmeati/status/1445793717378592773")</f>
        <v>https://twitter.com/craftmeati/status/1445793717378592773</v>
      </c>
      <c r="AA376" s="80"/>
      <c r="AB376" s="80"/>
      <c r="AC376" s="83" t="s">
        <v>907</v>
      </c>
      <c r="AD376" s="80"/>
      <c r="AE376" s="80" t="b">
        <v>0</v>
      </c>
      <c r="AF376" s="80">
        <v>0</v>
      </c>
      <c r="AG376" s="83" t="s">
        <v>952</v>
      </c>
      <c r="AH376" s="80" t="b">
        <v>0</v>
      </c>
      <c r="AI376" s="80" t="s">
        <v>967</v>
      </c>
      <c r="AJ376" s="80"/>
      <c r="AK376" s="83" t="s">
        <v>952</v>
      </c>
      <c r="AL376" s="80" t="b">
        <v>0</v>
      </c>
      <c r="AM376" s="80">
        <v>2</v>
      </c>
      <c r="AN376" s="83" t="s">
        <v>906</v>
      </c>
      <c r="AO376" s="83" t="s">
        <v>972</v>
      </c>
      <c r="AP376" s="80" t="b">
        <v>0</v>
      </c>
      <c r="AQ376" s="83" t="s">
        <v>906</v>
      </c>
      <c r="AR376" s="80" t="s">
        <v>196</v>
      </c>
      <c r="AS376" s="80">
        <v>0</v>
      </c>
      <c r="AT376" s="80">
        <v>0</v>
      </c>
      <c r="AU376" s="80"/>
      <c r="AV376" s="80"/>
      <c r="AW376" s="80"/>
      <c r="AX376" s="80"/>
      <c r="AY376" s="80"/>
      <c r="AZ376" s="80"/>
      <c r="BA376" s="80"/>
      <c r="BB376" s="80"/>
      <c r="BC376">
        <v>1</v>
      </c>
      <c r="BD376" s="79" t="str">
        <f>REPLACE(INDEX(GroupVertices[Group],MATCH(Edges[[#This Row],[Vertex 1]],GroupVertices[Vertex],0)),1,1,"")</f>
        <v>3</v>
      </c>
      <c r="BE376" s="79" t="str">
        <f>REPLACE(INDEX(GroupVertices[Group],MATCH(Edges[[#This Row],[Vertex 2]],GroupVertices[Vertex],0)),1,1,"")</f>
        <v>3</v>
      </c>
      <c r="BF376" s="49">
        <v>0</v>
      </c>
      <c r="BG376" s="50">
        <v>0</v>
      </c>
      <c r="BH376" s="49">
        <v>0</v>
      </c>
      <c r="BI376" s="50">
        <v>0</v>
      </c>
      <c r="BJ376" s="49">
        <v>0</v>
      </c>
      <c r="BK376" s="50">
        <v>0</v>
      </c>
      <c r="BL376" s="49">
        <v>38</v>
      </c>
      <c r="BM376" s="50">
        <v>100</v>
      </c>
      <c r="BN376" s="49">
        <v>38</v>
      </c>
    </row>
    <row r="377" spans="1:66" ht="15">
      <c r="A377" s="65" t="s">
        <v>348</v>
      </c>
      <c r="B377" s="65" t="s">
        <v>401</v>
      </c>
      <c r="C377" s="66" t="s">
        <v>2815</v>
      </c>
      <c r="D377" s="67">
        <v>3</v>
      </c>
      <c r="E377" s="66" t="s">
        <v>132</v>
      </c>
      <c r="F377" s="69">
        <v>32</v>
      </c>
      <c r="G377" s="66"/>
      <c r="H377" s="70"/>
      <c r="I377" s="71"/>
      <c r="J377" s="71"/>
      <c r="K377" s="35" t="s">
        <v>65</v>
      </c>
      <c r="L377" s="72">
        <v>377</v>
      </c>
      <c r="M377" s="72"/>
      <c r="N377" s="73"/>
      <c r="O377" s="80" t="s">
        <v>406</v>
      </c>
      <c r="P377" s="82">
        <v>44475.568194444444</v>
      </c>
      <c r="Q377" s="80" t="s">
        <v>494</v>
      </c>
      <c r="R377" s="85" t="str">
        <f>HYPERLINK("https://www.economist.com/podcasts/2021/10/05/a-new-anthropocene-diet-the-future-of-food")</f>
        <v>https://www.economist.com/podcasts/2021/10/05/a-new-anthropocene-diet-the-future-of-food</v>
      </c>
      <c r="S377" s="80" t="s">
        <v>535</v>
      </c>
      <c r="T377" s="80"/>
      <c r="U377" s="80"/>
      <c r="V377" s="85" t="str">
        <f>HYPERLINK("https://pbs.twimg.com/profile_images/1327714956779925505/ZvDQjsvd_normal.jpg")</f>
        <v>https://pbs.twimg.com/profile_images/1327714956779925505/ZvDQjsvd_normal.jpg</v>
      </c>
      <c r="W377" s="82">
        <v>44475.568194444444</v>
      </c>
      <c r="X377" s="87">
        <v>44475</v>
      </c>
      <c r="Y377" s="83" t="s">
        <v>721</v>
      </c>
      <c r="Z377" s="85" t="str">
        <f>HYPERLINK("https://twitter.com/helikonc/status/1445745204279922691")</f>
        <v>https://twitter.com/helikonc/status/1445745204279922691</v>
      </c>
      <c r="AA377" s="80"/>
      <c r="AB377" s="80"/>
      <c r="AC377" s="83" t="s">
        <v>908</v>
      </c>
      <c r="AD377" s="80"/>
      <c r="AE377" s="80" t="b">
        <v>0</v>
      </c>
      <c r="AF377" s="80">
        <v>5</v>
      </c>
      <c r="AG377" s="83" t="s">
        <v>952</v>
      </c>
      <c r="AH377" s="80" t="b">
        <v>0</v>
      </c>
      <c r="AI377" s="80" t="s">
        <v>967</v>
      </c>
      <c r="AJ377" s="80"/>
      <c r="AK377" s="83" t="s">
        <v>952</v>
      </c>
      <c r="AL377" s="80" t="b">
        <v>0</v>
      </c>
      <c r="AM377" s="80">
        <v>1</v>
      </c>
      <c r="AN377" s="83" t="s">
        <v>952</v>
      </c>
      <c r="AO377" s="83" t="s">
        <v>972</v>
      </c>
      <c r="AP377" s="80" t="b">
        <v>0</v>
      </c>
      <c r="AQ377" s="83" t="s">
        <v>908</v>
      </c>
      <c r="AR377" s="80" t="s">
        <v>196</v>
      </c>
      <c r="AS377" s="80">
        <v>0</v>
      </c>
      <c r="AT377" s="80">
        <v>0</v>
      </c>
      <c r="AU377" s="80"/>
      <c r="AV377" s="80"/>
      <c r="AW377" s="80"/>
      <c r="AX377" s="80"/>
      <c r="AY377" s="80"/>
      <c r="AZ377" s="80"/>
      <c r="BA377" s="80"/>
      <c r="BB377" s="80"/>
      <c r="BC377">
        <v>1</v>
      </c>
      <c r="BD377" s="79" t="str">
        <f>REPLACE(INDEX(GroupVertices[Group],MATCH(Edges[[#This Row],[Vertex 1]],GroupVertices[Vertex],0)),1,1,"")</f>
        <v>3</v>
      </c>
      <c r="BE377" s="79" t="str">
        <f>REPLACE(INDEX(GroupVertices[Group],MATCH(Edges[[#This Row],[Vertex 2]],GroupVertices[Vertex],0)),1,1,"")</f>
        <v>3</v>
      </c>
      <c r="BF377" s="49">
        <v>0</v>
      </c>
      <c r="BG377" s="50">
        <v>0</v>
      </c>
      <c r="BH377" s="49">
        <v>0</v>
      </c>
      <c r="BI377" s="50">
        <v>0</v>
      </c>
      <c r="BJ377" s="49">
        <v>0</v>
      </c>
      <c r="BK377" s="50">
        <v>0</v>
      </c>
      <c r="BL377" s="49">
        <v>26</v>
      </c>
      <c r="BM377" s="50">
        <v>100</v>
      </c>
      <c r="BN377" s="49">
        <v>26</v>
      </c>
    </row>
    <row r="378" spans="1:66" ht="15">
      <c r="A378" s="65" t="s">
        <v>347</v>
      </c>
      <c r="B378" s="65" t="s">
        <v>401</v>
      </c>
      <c r="C378" s="66" t="s">
        <v>2815</v>
      </c>
      <c r="D378" s="67">
        <v>3</v>
      </c>
      <c r="E378" s="66" t="s">
        <v>132</v>
      </c>
      <c r="F378" s="69">
        <v>32</v>
      </c>
      <c r="G378" s="66"/>
      <c r="H378" s="70"/>
      <c r="I378" s="71"/>
      <c r="J378" s="71"/>
      <c r="K378" s="35" t="s">
        <v>65</v>
      </c>
      <c r="L378" s="72">
        <v>378</v>
      </c>
      <c r="M378" s="72"/>
      <c r="N378" s="73"/>
      <c r="O378" s="80" t="s">
        <v>407</v>
      </c>
      <c r="P378" s="82">
        <v>44476.09248842593</v>
      </c>
      <c r="Q378" s="80" t="s">
        <v>494</v>
      </c>
      <c r="R378" s="85" t="str">
        <f>HYPERLINK("https://www.economist.com/podcasts/2021/10/05/a-new-anthropocene-diet-the-future-of-food")</f>
        <v>https://www.economist.com/podcasts/2021/10/05/a-new-anthropocene-diet-the-future-of-food</v>
      </c>
      <c r="S378" s="80" t="s">
        <v>535</v>
      </c>
      <c r="T378" s="80"/>
      <c r="U378" s="80"/>
      <c r="V378" s="85" t="str">
        <f>HYPERLINK("https://pbs.twimg.com/profile_images/1207023594204741634/oNEPNuoG_normal.jpg")</f>
        <v>https://pbs.twimg.com/profile_images/1207023594204741634/oNEPNuoG_normal.jpg</v>
      </c>
      <c r="W378" s="82">
        <v>44476.09248842593</v>
      </c>
      <c r="X378" s="87">
        <v>44476</v>
      </c>
      <c r="Y378" s="83" t="s">
        <v>722</v>
      </c>
      <c r="Z378" s="85" t="str">
        <f>HYPERLINK("https://twitter.com/craftmeati/status/1445935204212817920")</f>
        <v>https://twitter.com/craftmeati/status/1445935204212817920</v>
      </c>
      <c r="AA378" s="80"/>
      <c r="AB378" s="80"/>
      <c r="AC378" s="83" t="s">
        <v>909</v>
      </c>
      <c r="AD378" s="80"/>
      <c r="AE378" s="80" t="b">
        <v>0</v>
      </c>
      <c r="AF378" s="80">
        <v>0</v>
      </c>
      <c r="AG378" s="83" t="s">
        <v>952</v>
      </c>
      <c r="AH378" s="80" t="b">
        <v>0</v>
      </c>
      <c r="AI378" s="80" t="s">
        <v>967</v>
      </c>
      <c r="AJ378" s="80"/>
      <c r="AK378" s="83" t="s">
        <v>952</v>
      </c>
      <c r="AL378" s="80" t="b">
        <v>0</v>
      </c>
      <c r="AM378" s="80">
        <v>1</v>
      </c>
      <c r="AN378" s="83" t="s">
        <v>908</v>
      </c>
      <c r="AO378" s="83" t="s">
        <v>979</v>
      </c>
      <c r="AP378" s="80" t="b">
        <v>0</v>
      </c>
      <c r="AQ378" s="83" t="s">
        <v>908</v>
      </c>
      <c r="AR378" s="80" t="s">
        <v>196</v>
      </c>
      <c r="AS378" s="80">
        <v>0</v>
      </c>
      <c r="AT378" s="80">
        <v>0</v>
      </c>
      <c r="AU378" s="80"/>
      <c r="AV378" s="80"/>
      <c r="AW378" s="80"/>
      <c r="AX378" s="80"/>
      <c r="AY378" s="80"/>
      <c r="AZ378" s="80"/>
      <c r="BA378" s="80"/>
      <c r="BB378" s="80"/>
      <c r="BC378">
        <v>1</v>
      </c>
      <c r="BD378" s="79" t="str">
        <f>REPLACE(INDEX(GroupVertices[Group],MATCH(Edges[[#This Row],[Vertex 1]],GroupVertices[Vertex],0)),1,1,"")</f>
        <v>3</v>
      </c>
      <c r="BE378" s="79" t="str">
        <f>REPLACE(INDEX(GroupVertices[Group],MATCH(Edges[[#This Row],[Vertex 2]],GroupVertices[Vertex],0)),1,1,"")</f>
        <v>3</v>
      </c>
      <c r="BF378" s="49">
        <v>0</v>
      </c>
      <c r="BG378" s="50">
        <v>0</v>
      </c>
      <c r="BH378" s="49">
        <v>0</v>
      </c>
      <c r="BI378" s="50">
        <v>0</v>
      </c>
      <c r="BJ378" s="49">
        <v>0</v>
      </c>
      <c r="BK378" s="50">
        <v>0</v>
      </c>
      <c r="BL378" s="49">
        <v>26</v>
      </c>
      <c r="BM378" s="50">
        <v>100</v>
      </c>
      <c r="BN378" s="49">
        <v>26</v>
      </c>
    </row>
    <row r="379" spans="1:66" ht="15">
      <c r="A379" s="65" t="s">
        <v>348</v>
      </c>
      <c r="B379" s="65" t="s">
        <v>342</v>
      </c>
      <c r="C379" s="66" t="s">
        <v>2815</v>
      </c>
      <c r="D379" s="67">
        <v>3</v>
      </c>
      <c r="E379" s="66" t="s">
        <v>132</v>
      </c>
      <c r="F379" s="69">
        <v>32</v>
      </c>
      <c r="G379" s="66"/>
      <c r="H379" s="70"/>
      <c r="I379" s="71"/>
      <c r="J379" s="71"/>
      <c r="K379" s="35" t="s">
        <v>65</v>
      </c>
      <c r="L379" s="72">
        <v>379</v>
      </c>
      <c r="M379" s="72"/>
      <c r="N379" s="73"/>
      <c r="O379" s="80" t="s">
        <v>406</v>
      </c>
      <c r="P379" s="82">
        <v>44475.568194444444</v>
      </c>
      <c r="Q379" s="80" t="s">
        <v>494</v>
      </c>
      <c r="R379" s="85" t="str">
        <f>HYPERLINK("https://www.economist.com/podcasts/2021/10/05/a-new-anthropocene-diet-the-future-of-food")</f>
        <v>https://www.economist.com/podcasts/2021/10/05/a-new-anthropocene-diet-the-future-of-food</v>
      </c>
      <c r="S379" s="80" t="s">
        <v>535</v>
      </c>
      <c r="T379" s="80"/>
      <c r="U379" s="80"/>
      <c r="V379" s="85" t="str">
        <f>HYPERLINK("https://pbs.twimg.com/profile_images/1327714956779925505/ZvDQjsvd_normal.jpg")</f>
        <v>https://pbs.twimg.com/profile_images/1327714956779925505/ZvDQjsvd_normal.jpg</v>
      </c>
      <c r="W379" s="82">
        <v>44475.568194444444</v>
      </c>
      <c r="X379" s="87">
        <v>44475</v>
      </c>
      <c r="Y379" s="83" t="s">
        <v>721</v>
      </c>
      <c r="Z379" s="85" t="str">
        <f>HYPERLINK("https://twitter.com/helikonc/status/1445745204279922691")</f>
        <v>https://twitter.com/helikonc/status/1445745204279922691</v>
      </c>
      <c r="AA379" s="80"/>
      <c r="AB379" s="80"/>
      <c r="AC379" s="83" t="s">
        <v>908</v>
      </c>
      <c r="AD379" s="80"/>
      <c r="AE379" s="80" t="b">
        <v>0</v>
      </c>
      <c r="AF379" s="80">
        <v>5</v>
      </c>
      <c r="AG379" s="83" t="s">
        <v>952</v>
      </c>
      <c r="AH379" s="80" t="b">
        <v>0</v>
      </c>
      <c r="AI379" s="80" t="s">
        <v>967</v>
      </c>
      <c r="AJ379" s="80"/>
      <c r="AK379" s="83" t="s">
        <v>952</v>
      </c>
      <c r="AL379" s="80" t="b">
        <v>0</v>
      </c>
      <c r="AM379" s="80">
        <v>1</v>
      </c>
      <c r="AN379" s="83" t="s">
        <v>952</v>
      </c>
      <c r="AO379" s="83" t="s">
        <v>972</v>
      </c>
      <c r="AP379" s="80" t="b">
        <v>0</v>
      </c>
      <c r="AQ379" s="83" t="s">
        <v>908</v>
      </c>
      <c r="AR379" s="80" t="s">
        <v>196</v>
      </c>
      <c r="AS379" s="80">
        <v>0</v>
      </c>
      <c r="AT379" s="80">
        <v>0</v>
      </c>
      <c r="AU379" s="80"/>
      <c r="AV379" s="80"/>
      <c r="AW379" s="80"/>
      <c r="AX379" s="80"/>
      <c r="AY379" s="80"/>
      <c r="AZ379" s="80"/>
      <c r="BA379" s="80"/>
      <c r="BB379" s="80"/>
      <c r="BC379">
        <v>1</v>
      </c>
      <c r="BD379" s="79" t="str">
        <f>REPLACE(INDEX(GroupVertices[Group],MATCH(Edges[[#This Row],[Vertex 1]],GroupVertices[Vertex],0)),1,1,"")</f>
        <v>3</v>
      </c>
      <c r="BE379" s="79" t="str">
        <f>REPLACE(INDEX(GroupVertices[Group],MATCH(Edges[[#This Row],[Vertex 2]],GroupVertices[Vertex],0)),1,1,"")</f>
        <v>1</v>
      </c>
      <c r="BF379" s="49"/>
      <c r="BG379" s="50"/>
      <c r="BH379" s="49"/>
      <c r="BI379" s="50"/>
      <c r="BJ379" s="49"/>
      <c r="BK379" s="50"/>
      <c r="BL379" s="49"/>
      <c r="BM379" s="50"/>
      <c r="BN379" s="49"/>
    </row>
    <row r="380" spans="1:66" ht="15">
      <c r="A380" s="65" t="s">
        <v>347</v>
      </c>
      <c r="B380" s="65" t="s">
        <v>342</v>
      </c>
      <c r="C380" s="66" t="s">
        <v>2815</v>
      </c>
      <c r="D380" s="67">
        <v>3</v>
      </c>
      <c r="E380" s="66" t="s">
        <v>132</v>
      </c>
      <c r="F380" s="69">
        <v>32</v>
      </c>
      <c r="G380" s="66"/>
      <c r="H380" s="70"/>
      <c r="I380" s="71"/>
      <c r="J380" s="71"/>
      <c r="K380" s="35" t="s">
        <v>65</v>
      </c>
      <c r="L380" s="72">
        <v>380</v>
      </c>
      <c r="M380" s="72"/>
      <c r="N380" s="73"/>
      <c r="O380" s="80" t="s">
        <v>407</v>
      </c>
      <c r="P380" s="82">
        <v>44476.09248842593</v>
      </c>
      <c r="Q380" s="80" t="s">
        <v>494</v>
      </c>
      <c r="R380" s="85" t="str">
        <f>HYPERLINK("https://www.economist.com/podcasts/2021/10/05/a-new-anthropocene-diet-the-future-of-food")</f>
        <v>https://www.economist.com/podcasts/2021/10/05/a-new-anthropocene-diet-the-future-of-food</v>
      </c>
      <c r="S380" s="80" t="s">
        <v>535</v>
      </c>
      <c r="T380" s="80"/>
      <c r="U380" s="80"/>
      <c r="V380" s="85" t="str">
        <f>HYPERLINK("https://pbs.twimg.com/profile_images/1207023594204741634/oNEPNuoG_normal.jpg")</f>
        <v>https://pbs.twimg.com/profile_images/1207023594204741634/oNEPNuoG_normal.jpg</v>
      </c>
      <c r="W380" s="82">
        <v>44476.09248842593</v>
      </c>
      <c r="X380" s="87">
        <v>44476</v>
      </c>
      <c r="Y380" s="83" t="s">
        <v>722</v>
      </c>
      <c r="Z380" s="85" t="str">
        <f>HYPERLINK("https://twitter.com/craftmeati/status/1445935204212817920")</f>
        <v>https://twitter.com/craftmeati/status/1445935204212817920</v>
      </c>
      <c r="AA380" s="80"/>
      <c r="AB380" s="80"/>
      <c r="AC380" s="83" t="s">
        <v>909</v>
      </c>
      <c r="AD380" s="80"/>
      <c r="AE380" s="80" t="b">
        <v>0</v>
      </c>
      <c r="AF380" s="80">
        <v>0</v>
      </c>
      <c r="AG380" s="83" t="s">
        <v>952</v>
      </c>
      <c r="AH380" s="80" t="b">
        <v>0</v>
      </c>
      <c r="AI380" s="80" t="s">
        <v>967</v>
      </c>
      <c r="AJ380" s="80"/>
      <c r="AK380" s="83" t="s">
        <v>952</v>
      </c>
      <c r="AL380" s="80" t="b">
        <v>0</v>
      </c>
      <c r="AM380" s="80">
        <v>1</v>
      </c>
      <c r="AN380" s="83" t="s">
        <v>908</v>
      </c>
      <c r="AO380" s="83" t="s">
        <v>979</v>
      </c>
      <c r="AP380" s="80" t="b">
        <v>0</v>
      </c>
      <c r="AQ380" s="83" t="s">
        <v>908</v>
      </c>
      <c r="AR380" s="80" t="s">
        <v>196</v>
      </c>
      <c r="AS380" s="80">
        <v>0</v>
      </c>
      <c r="AT380" s="80">
        <v>0</v>
      </c>
      <c r="AU380" s="80"/>
      <c r="AV380" s="80"/>
      <c r="AW380" s="80"/>
      <c r="AX380" s="80"/>
      <c r="AY380" s="80"/>
      <c r="AZ380" s="80"/>
      <c r="BA380" s="80"/>
      <c r="BB380" s="80"/>
      <c r="BC380">
        <v>1</v>
      </c>
      <c r="BD380" s="79" t="str">
        <f>REPLACE(INDEX(GroupVertices[Group],MATCH(Edges[[#This Row],[Vertex 1]],GroupVertices[Vertex],0)),1,1,"")</f>
        <v>3</v>
      </c>
      <c r="BE380" s="79" t="str">
        <f>REPLACE(INDEX(GroupVertices[Group],MATCH(Edges[[#This Row],[Vertex 2]],GroupVertices[Vertex],0)),1,1,"")</f>
        <v>1</v>
      </c>
      <c r="BF380" s="49"/>
      <c r="BG380" s="50"/>
      <c r="BH380" s="49"/>
      <c r="BI380" s="50"/>
      <c r="BJ380" s="49"/>
      <c r="BK380" s="50"/>
      <c r="BL380" s="49"/>
      <c r="BM380" s="50"/>
      <c r="BN380" s="49"/>
    </row>
    <row r="381" spans="1:66" ht="15">
      <c r="A381" s="65" t="s">
        <v>347</v>
      </c>
      <c r="B381" s="65" t="s">
        <v>348</v>
      </c>
      <c r="C381" s="66" t="s">
        <v>2815</v>
      </c>
      <c r="D381" s="67">
        <v>3</v>
      </c>
      <c r="E381" s="66" t="s">
        <v>132</v>
      </c>
      <c r="F381" s="69">
        <v>32</v>
      </c>
      <c r="G381" s="66"/>
      <c r="H381" s="70"/>
      <c r="I381" s="71"/>
      <c r="J381" s="71"/>
      <c r="K381" s="35" t="s">
        <v>65</v>
      </c>
      <c r="L381" s="72">
        <v>381</v>
      </c>
      <c r="M381" s="72"/>
      <c r="N381" s="73"/>
      <c r="O381" s="80" t="s">
        <v>408</v>
      </c>
      <c r="P381" s="82">
        <v>44476.09248842593</v>
      </c>
      <c r="Q381" s="80" t="s">
        <v>494</v>
      </c>
      <c r="R381" s="85" t="str">
        <f>HYPERLINK("https://www.economist.com/podcasts/2021/10/05/a-new-anthropocene-diet-the-future-of-food")</f>
        <v>https://www.economist.com/podcasts/2021/10/05/a-new-anthropocene-diet-the-future-of-food</v>
      </c>
      <c r="S381" s="80" t="s">
        <v>535</v>
      </c>
      <c r="T381" s="80"/>
      <c r="U381" s="80"/>
      <c r="V381" s="85" t="str">
        <f>HYPERLINK("https://pbs.twimg.com/profile_images/1207023594204741634/oNEPNuoG_normal.jpg")</f>
        <v>https://pbs.twimg.com/profile_images/1207023594204741634/oNEPNuoG_normal.jpg</v>
      </c>
      <c r="W381" s="82">
        <v>44476.09248842593</v>
      </c>
      <c r="X381" s="87">
        <v>44476</v>
      </c>
      <c r="Y381" s="83" t="s">
        <v>722</v>
      </c>
      <c r="Z381" s="85" t="str">
        <f>HYPERLINK("https://twitter.com/craftmeati/status/1445935204212817920")</f>
        <v>https://twitter.com/craftmeati/status/1445935204212817920</v>
      </c>
      <c r="AA381" s="80"/>
      <c r="AB381" s="80"/>
      <c r="AC381" s="83" t="s">
        <v>909</v>
      </c>
      <c r="AD381" s="80"/>
      <c r="AE381" s="80" t="b">
        <v>0</v>
      </c>
      <c r="AF381" s="80">
        <v>0</v>
      </c>
      <c r="AG381" s="83" t="s">
        <v>952</v>
      </c>
      <c r="AH381" s="80" t="b">
        <v>0</v>
      </c>
      <c r="AI381" s="80" t="s">
        <v>967</v>
      </c>
      <c r="AJ381" s="80"/>
      <c r="AK381" s="83" t="s">
        <v>952</v>
      </c>
      <c r="AL381" s="80" t="b">
        <v>0</v>
      </c>
      <c r="AM381" s="80">
        <v>1</v>
      </c>
      <c r="AN381" s="83" t="s">
        <v>908</v>
      </c>
      <c r="AO381" s="83" t="s">
        <v>979</v>
      </c>
      <c r="AP381" s="80" t="b">
        <v>0</v>
      </c>
      <c r="AQ381" s="83" t="s">
        <v>908</v>
      </c>
      <c r="AR381" s="80" t="s">
        <v>196</v>
      </c>
      <c r="AS381" s="80">
        <v>0</v>
      </c>
      <c r="AT381" s="80">
        <v>0</v>
      </c>
      <c r="AU381" s="80"/>
      <c r="AV381" s="80"/>
      <c r="AW381" s="80"/>
      <c r="AX381" s="80"/>
      <c r="AY381" s="80"/>
      <c r="AZ381" s="80"/>
      <c r="BA381" s="80"/>
      <c r="BB381" s="80"/>
      <c r="BC381">
        <v>1</v>
      </c>
      <c r="BD381" s="79" t="str">
        <f>REPLACE(INDEX(GroupVertices[Group],MATCH(Edges[[#This Row],[Vertex 1]],GroupVertices[Vertex],0)),1,1,"")</f>
        <v>3</v>
      </c>
      <c r="BE381" s="79" t="str">
        <f>REPLACE(INDEX(GroupVertices[Group],MATCH(Edges[[#This Row],[Vertex 2]],GroupVertices[Vertex],0)),1,1,"")</f>
        <v>3</v>
      </c>
      <c r="BF381" s="49"/>
      <c r="BG381" s="50"/>
      <c r="BH381" s="49"/>
      <c r="BI381" s="50"/>
      <c r="BJ381" s="49"/>
      <c r="BK381" s="50"/>
      <c r="BL381" s="49"/>
      <c r="BM381" s="50"/>
      <c r="BN381" s="49"/>
    </row>
    <row r="382" spans="1:66" ht="15">
      <c r="A382" s="65" t="s">
        <v>349</v>
      </c>
      <c r="B382" s="65" t="s">
        <v>349</v>
      </c>
      <c r="C382" s="66" t="s">
        <v>2815</v>
      </c>
      <c r="D382" s="67">
        <v>3</v>
      </c>
      <c r="E382" s="66" t="s">
        <v>132</v>
      </c>
      <c r="F382" s="69">
        <v>32</v>
      </c>
      <c r="G382" s="66"/>
      <c r="H382" s="70"/>
      <c r="I382" s="71"/>
      <c r="J382" s="71"/>
      <c r="K382" s="35" t="s">
        <v>65</v>
      </c>
      <c r="L382" s="72">
        <v>382</v>
      </c>
      <c r="M382" s="72"/>
      <c r="N382" s="73"/>
      <c r="O382" s="80" t="s">
        <v>196</v>
      </c>
      <c r="P382" s="82">
        <v>44474.040185185186</v>
      </c>
      <c r="Q382" s="80" t="s">
        <v>495</v>
      </c>
      <c r="R382" s="85" t="str">
        <f>HYPERLINK("https://www.greenqueen.com.hk/hong-kong-cell-based-meat-study/")</f>
        <v>https://www.greenqueen.com.hk/hong-kong-cell-based-meat-study/</v>
      </c>
      <c r="S382" s="80" t="s">
        <v>525</v>
      </c>
      <c r="T382" s="80"/>
      <c r="U382" s="80"/>
      <c r="V382" s="85" t="str">
        <f>HYPERLINK("https://pbs.twimg.com/profile_images/1219578724317724672/Pz__yQZx_normal.jpg")</f>
        <v>https://pbs.twimg.com/profile_images/1219578724317724672/Pz__yQZx_normal.jpg</v>
      </c>
      <c r="W382" s="82">
        <v>44474.040185185186</v>
      </c>
      <c r="X382" s="87">
        <v>44474</v>
      </c>
      <c r="Y382" s="83" t="s">
        <v>723</v>
      </c>
      <c r="Z382" s="85" t="str">
        <f>HYPERLINK("https://twitter.com/greenqueenhk/status/1445191473838841862")</f>
        <v>https://twitter.com/greenqueenhk/status/1445191473838841862</v>
      </c>
      <c r="AA382" s="80"/>
      <c r="AB382" s="80"/>
      <c r="AC382" s="83" t="s">
        <v>910</v>
      </c>
      <c r="AD382" s="80"/>
      <c r="AE382" s="80" t="b">
        <v>0</v>
      </c>
      <c r="AF382" s="80">
        <v>1</v>
      </c>
      <c r="AG382" s="83" t="s">
        <v>952</v>
      </c>
      <c r="AH382" s="80" t="b">
        <v>0</v>
      </c>
      <c r="AI382" s="80" t="s">
        <v>967</v>
      </c>
      <c r="AJ382" s="80"/>
      <c r="AK382" s="83" t="s">
        <v>952</v>
      </c>
      <c r="AL382" s="80" t="b">
        <v>0</v>
      </c>
      <c r="AM382" s="80">
        <v>0</v>
      </c>
      <c r="AN382" s="83" t="s">
        <v>952</v>
      </c>
      <c r="AO382" s="83" t="s">
        <v>984</v>
      </c>
      <c r="AP382" s="80" t="b">
        <v>0</v>
      </c>
      <c r="AQ382" s="83" t="s">
        <v>910</v>
      </c>
      <c r="AR382" s="80" t="s">
        <v>196</v>
      </c>
      <c r="AS382" s="80">
        <v>0</v>
      </c>
      <c r="AT382" s="80">
        <v>0</v>
      </c>
      <c r="AU382" s="80"/>
      <c r="AV382" s="80"/>
      <c r="AW382" s="80"/>
      <c r="AX382" s="80"/>
      <c r="AY382" s="80"/>
      <c r="AZ382" s="80"/>
      <c r="BA382" s="80"/>
      <c r="BB382" s="80"/>
      <c r="BC382">
        <v>1</v>
      </c>
      <c r="BD382" s="79" t="str">
        <f>REPLACE(INDEX(GroupVertices[Group],MATCH(Edges[[#This Row],[Vertex 1]],GroupVertices[Vertex],0)),1,1,"")</f>
        <v>3</v>
      </c>
      <c r="BE382" s="79" t="str">
        <f>REPLACE(INDEX(GroupVertices[Group],MATCH(Edges[[#This Row],[Vertex 2]],GroupVertices[Vertex],0)),1,1,"")</f>
        <v>3</v>
      </c>
      <c r="BF382" s="49">
        <v>0</v>
      </c>
      <c r="BG382" s="50">
        <v>0</v>
      </c>
      <c r="BH382" s="49">
        <v>0</v>
      </c>
      <c r="BI382" s="50">
        <v>0</v>
      </c>
      <c r="BJ382" s="49">
        <v>0</v>
      </c>
      <c r="BK382" s="50">
        <v>0</v>
      </c>
      <c r="BL382" s="49">
        <v>14</v>
      </c>
      <c r="BM382" s="50">
        <v>100</v>
      </c>
      <c r="BN382" s="49">
        <v>14</v>
      </c>
    </row>
    <row r="383" spans="1:66" ht="15">
      <c r="A383" s="65" t="s">
        <v>329</v>
      </c>
      <c r="B383" s="65" t="s">
        <v>349</v>
      </c>
      <c r="C383" s="66" t="s">
        <v>2815</v>
      </c>
      <c r="D383" s="67">
        <v>3</v>
      </c>
      <c r="E383" s="66" t="s">
        <v>132</v>
      </c>
      <c r="F383" s="69">
        <v>32</v>
      </c>
      <c r="G383" s="66"/>
      <c r="H383" s="70"/>
      <c r="I383" s="71"/>
      <c r="J383" s="71"/>
      <c r="K383" s="35" t="s">
        <v>65</v>
      </c>
      <c r="L383" s="72">
        <v>383</v>
      </c>
      <c r="M383" s="72"/>
      <c r="N383" s="73"/>
      <c r="O383" s="80" t="s">
        <v>406</v>
      </c>
      <c r="P383" s="82">
        <v>44476.17071759259</v>
      </c>
      <c r="Q383" s="80" t="s">
        <v>496</v>
      </c>
      <c r="R383" s="85" t="str">
        <f>HYPERLINK("https://www.greenqueen.com.hk/hong-kong-cell-based-meat-study/")</f>
        <v>https://www.greenqueen.com.hk/hong-kong-cell-based-meat-study/</v>
      </c>
      <c r="S383" s="80" t="s">
        <v>525</v>
      </c>
      <c r="T383" s="80"/>
      <c r="U383" s="80"/>
      <c r="V383" s="85" t="str">
        <f>HYPERLINK("https://pbs.twimg.com/profile_images/1067102741980487680/tL2beQao_normal.jpg")</f>
        <v>https://pbs.twimg.com/profile_images/1067102741980487680/tL2beQao_normal.jpg</v>
      </c>
      <c r="W383" s="82">
        <v>44476.17071759259</v>
      </c>
      <c r="X383" s="87">
        <v>44476</v>
      </c>
      <c r="Y383" s="83" t="s">
        <v>724</v>
      </c>
      <c r="Z383" s="85" t="str">
        <f>HYPERLINK("https://twitter.com/shiokmeats/status/1445963555417690115")</f>
        <v>https://twitter.com/shiokmeats/status/1445963555417690115</v>
      </c>
      <c r="AA383" s="80"/>
      <c r="AB383" s="80"/>
      <c r="AC383" s="83" t="s">
        <v>911</v>
      </c>
      <c r="AD383" s="83" t="s">
        <v>948</v>
      </c>
      <c r="AE383" s="80" t="b">
        <v>0</v>
      </c>
      <c r="AF383" s="80">
        <v>4</v>
      </c>
      <c r="AG383" s="83" t="s">
        <v>964</v>
      </c>
      <c r="AH383" s="80" t="b">
        <v>0</v>
      </c>
      <c r="AI383" s="80" t="s">
        <v>967</v>
      </c>
      <c r="AJ383" s="80"/>
      <c r="AK383" s="83" t="s">
        <v>952</v>
      </c>
      <c r="AL383" s="80" t="b">
        <v>0</v>
      </c>
      <c r="AM383" s="80">
        <v>1</v>
      </c>
      <c r="AN383" s="83" t="s">
        <v>952</v>
      </c>
      <c r="AO383" s="83" t="s">
        <v>976</v>
      </c>
      <c r="AP383" s="80" t="b">
        <v>0</v>
      </c>
      <c r="AQ383" s="83" t="s">
        <v>948</v>
      </c>
      <c r="AR383" s="80" t="s">
        <v>196</v>
      </c>
      <c r="AS383" s="80">
        <v>0</v>
      </c>
      <c r="AT383" s="80">
        <v>0</v>
      </c>
      <c r="AU383" s="80"/>
      <c r="AV383" s="80"/>
      <c r="AW383" s="80"/>
      <c r="AX383" s="80"/>
      <c r="AY383" s="80"/>
      <c r="AZ383" s="80"/>
      <c r="BA383" s="80"/>
      <c r="BB383" s="80"/>
      <c r="BC383">
        <v>1</v>
      </c>
      <c r="BD383" s="79" t="str">
        <f>REPLACE(INDEX(GroupVertices[Group],MATCH(Edges[[#This Row],[Vertex 1]],GroupVertices[Vertex],0)),1,1,"")</f>
        <v>3</v>
      </c>
      <c r="BE383" s="79" t="str">
        <f>REPLACE(INDEX(GroupVertices[Group],MATCH(Edges[[#This Row],[Vertex 2]],GroupVertices[Vertex],0)),1,1,"")</f>
        <v>3</v>
      </c>
      <c r="BF383" s="49">
        <v>1</v>
      </c>
      <c r="BG383" s="50">
        <v>14.285714285714286</v>
      </c>
      <c r="BH383" s="49">
        <v>0</v>
      </c>
      <c r="BI383" s="50">
        <v>0</v>
      </c>
      <c r="BJ383" s="49">
        <v>0</v>
      </c>
      <c r="BK383" s="50">
        <v>0</v>
      </c>
      <c r="BL383" s="49">
        <v>6</v>
      </c>
      <c r="BM383" s="50">
        <v>85.71428571428571</v>
      </c>
      <c r="BN383" s="49">
        <v>7</v>
      </c>
    </row>
    <row r="384" spans="1:66" ht="15">
      <c r="A384" s="65" t="s">
        <v>347</v>
      </c>
      <c r="B384" s="65" t="s">
        <v>349</v>
      </c>
      <c r="C384" s="66" t="s">
        <v>2815</v>
      </c>
      <c r="D384" s="67">
        <v>3</v>
      </c>
      <c r="E384" s="66" t="s">
        <v>132</v>
      </c>
      <c r="F384" s="69">
        <v>32</v>
      </c>
      <c r="G384" s="66"/>
      <c r="H384" s="70"/>
      <c r="I384" s="71"/>
      <c r="J384" s="71"/>
      <c r="K384" s="35" t="s">
        <v>65</v>
      </c>
      <c r="L384" s="72">
        <v>384</v>
      </c>
      <c r="M384" s="72"/>
      <c r="N384" s="73"/>
      <c r="O384" s="80" t="s">
        <v>407</v>
      </c>
      <c r="P384" s="82">
        <v>44476.18537037037</v>
      </c>
      <c r="Q384" s="80" t="s">
        <v>496</v>
      </c>
      <c r="R384" s="85" t="str">
        <f>HYPERLINK("https://www.greenqueen.com.hk/hong-kong-cell-based-meat-study/")</f>
        <v>https://www.greenqueen.com.hk/hong-kong-cell-based-meat-study/</v>
      </c>
      <c r="S384" s="80" t="s">
        <v>525</v>
      </c>
      <c r="T384" s="80"/>
      <c r="U384" s="80"/>
      <c r="V384" s="85" t="str">
        <f>HYPERLINK("https://pbs.twimg.com/profile_images/1207023594204741634/oNEPNuoG_normal.jpg")</f>
        <v>https://pbs.twimg.com/profile_images/1207023594204741634/oNEPNuoG_normal.jpg</v>
      </c>
      <c r="W384" s="82">
        <v>44476.18537037037</v>
      </c>
      <c r="X384" s="87">
        <v>44476</v>
      </c>
      <c r="Y384" s="83" t="s">
        <v>725</v>
      </c>
      <c r="Z384" s="85" t="str">
        <f>HYPERLINK("https://twitter.com/craftmeati/status/1445968864626585600")</f>
        <v>https://twitter.com/craftmeati/status/1445968864626585600</v>
      </c>
      <c r="AA384" s="80"/>
      <c r="AB384" s="80"/>
      <c r="AC384" s="83" t="s">
        <v>912</v>
      </c>
      <c r="AD384" s="80"/>
      <c r="AE384" s="80" t="b">
        <v>0</v>
      </c>
      <c r="AF384" s="80">
        <v>0</v>
      </c>
      <c r="AG384" s="83" t="s">
        <v>952</v>
      </c>
      <c r="AH384" s="80" t="b">
        <v>0</v>
      </c>
      <c r="AI384" s="80" t="s">
        <v>967</v>
      </c>
      <c r="AJ384" s="80"/>
      <c r="AK384" s="83" t="s">
        <v>952</v>
      </c>
      <c r="AL384" s="80" t="b">
        <v>0</v>
      </c>
      <c r="AM384" s="80">
        <v>1</v>
      </c>
      <c r="AN384" s="83" t="s">
        <v>911</v>
      </c>
      <c r="AO384" s="83" t="s">
        <v>979</v>
      </c>
      <c r="AP384" s="80" t="b">
        <v>0</v>
      </c>
      <c r="AQ384" s="83" t="s">
        <v>911</v>
      </c>
      <c r="AR384" s="80" t="s">
        <v>196</v>
      </c>
      <c r="AS384" s="80">
        <v>0</v>
      </c>
      <c r="AT384" s="80">
        <v>0</v>
      </c>
      <c r="AU384" s="80"/>
      <c r="AV384" s="80"/>
      <c r="AW384" s="80"/>
      <c r="AX384" s="80"/>
      <c r="AY384" s="80"/>
      <c r="AZ384" s="80"/>
      <c r="BA384" s="80"/>
      <c r="BB384" s="80"/>
      <c r="BC384">
        <v>1</v>
      </c>
      <c r="BD384" s="79" t="str">
        <f>REPLACE(INDEX(GroupVertices[Group],MATCH(Edges[[#This Row],[Vertex 1]],GroupVertices[Vertex],0)),1,1,"")</f>
        <v>3</v>
      </c>
      <c r="BE384" s="79" t="str">
        <f>REPLACE(INDEX(GroupVertices[Group],MATCH(Edges[[#This Row],[Vertex 2]],GroupVertices[Vertex],0)),1,1,"")</f>
        <v>3</v>
      </c>
      <c r="BF384" s="49">
        <v>1</v>
      </c>
      <c r="BG384" s="50">
        <v>14.285714285714286</v>
      </c>
      <c r="BH384" s="49">
        <v>0</v>
      </c>
      <c r="BI384" s="50">
        <v>0</v>
      </c>
      <c r="BJ384" s="49">
        <v>0</v>
      </c>
      <c r="BK384" s="50">
        <v>0</v>
      </c>
      <c r="BL384" s="49">
        <v>6</v>
      </c>
      <c r="BM384" s="50">
        <v>85.71428571428571</v>
      </c>
      <c r="BN384" s="49">
        <v>7</v>
      </c>
    </row>
    <row r="385" spans="1:66" ht="15">
      <c r="A385" s="65" t="s">
        <v>329</v>
      </c>
      <c r="B385" s="65" t="s">
        <v>329</v>
      </c>
      <c r="C385" s="66" t="s">
        <v>2815</v>
      </c>
      <c r="D385" s="67">
        <v>3</v>
      </c>
      <c r="E385" s="66" t="s">
        <v>132</v>
      </c>
      <c r="F385" s="69">
        <v>32</v>
      </c>
      <c r="G385" s="66"/>
      <c r="H385" s="70"/>
      <c r="I385" s="71"/>
      <c r="J385" s="71"/>
      <c r="K385" s="35" t="s">
        <v>65</v>
      </c>
      <c r="L385" s="72">
        <v>385</v>
      </c>
      <c r="M385" s="72"/>
      <c r="N385" s="73"/>
      <c r="O385" s="80" t="s">
        <v>196</v>
      </c>
      <c r="P385" s="82">
        <v>44479.190416666665</v>
      </c>
      <c r="Q385" s="80" t="s">
        <v>497</v>
      </c>
      <c r="R385" s="85" t="str">
        <f>HYPERLINK("https://www.facebook.com/PenangScienceCluster/videos/353356909554610")</f>
        <v>https://www.facebook.com/PenangScienceCluster/videos/353356909554610</v>
      </c>
      <c r="S385" s="80" t="s">
        <v>520</v>
      </c>
      <c r="T385" s="80"/>
      <c r="U385" s="80"/>
      <c r="V385" s="85" t="str">
        <f>HYPERLINK("https://pbs.twimg.com/profile_images/1067102741980487680/tL2beQao_normal.jpg")</f>
        <v>https://pbs.twimg.com/profile_images/1067102741980487680/tL2beQao_normal.jpg</v>
      </c>
      <c r="W385" s="82">
        <v>44479.190416666665</v>
      </c>
      <c r="X385" s="87">
        <v>44479</v>
      </c>
      <c r="Y385" s="83" t="s">
        <v>726</v>
      </c>
      <c r="Z385" s="85" t="str">
        <f>HYPERLINK("https://twitter.com/shiokmeats/status/1447057854255415297")</f>
        <v>https://twitter.com/shiokmeats/status/1447057854255415297</v>
      </c>
      <c r="AA385" s="80"/>
      <c r="AB385" s="80"/>
      <c r="AC385" s="83" t="s">
        <v>913</v>
      </c>
      <c r="AD385" s="83" t="s">
        <v>949</v>
      </c>
      <c r="AE385" s="80" t="b">
        <v>0</v>
      </c>
      <c r="AF385" s="80">
        <v>2</v>
      </c>
      <c r="AG385" s="83" t="s">
        <v>964</v>
      </c>
      <c r="AH385" s="80" t="b">
        <v>0</v>
      </c>
      <c r="AI385" s="80" t="s">
        <v>967</v>
      </c>
      <c r="AJ385" s="80"/>
      <c r="AK385" s="83" t="s">
        <v>952</v>
      </c>
      <c r="AL385" s="80" t="b">
        <v>0</v>
      </c>
      <c r="AM385" s="80">
        <v>0</v>
      </c>
      <c r="AN385" s="83" t="s">
        <v>952</v>
      </c>
      <c r="AO385" s="83" t="s">
        <v>976</v>
      </c>
      <c r="AP385" s="80" t="b">
        <v>0</v>
      </c>
      <c r="AQ385" s="83" t="s">
        <v>949</v>
      </c>
      <c r="AR385" s="80" t="s">
        <v>196</v>
      </c>
      <c r="AS385" s="80">
        <v>0</v>
      </c>
      <c r="AT385" s="80">
        <v>0</v>
      </c>
      <c r="AU385" s="80"/>
      <c r="AV385" s="80"/>
      <c r="AW385" s="80"/>
      <c r="AX385" s="80"/>
      <c r="AY385" s="80"/>
      <c r="AZ385" s="80"/>
      <c r="BA385" s="80"/>
      <c r="BB385" s="80"/>
      <c r="BC385">
        <v>1</v>
      </c>
      <c r="BD385" s="79" t="str">
        <f>REPLACE(INDEX(GroupVertices[Group],MATCH(Edges[[#This Row],[Vertex 1]],GroupVertices[Vertex],0)),1,1,"")</f>
        <v>3</v>
      </c>
      <c r="BE385" s="79" t="str">
        <f>REPLACE(INDEX(GroupVertices[Group],MATCH(Edges[[#This Row],[Vertex 2]],GroupVertices[Vertex],0)),1,1,"")</f>
        <v>3</v>
      </c>
      <c r="BF385" s="49">
        <v>0</v>
      </c>
      <c r="BG385" s="50">
        <v>0</v>
      </c>
      <c r="BH385" s="49">
        <v>0</v>
      </c>
      <c r="BI385" s="50">
        <v>0</v>
      </c>
      <c r="BJ385" s="49">
        <v>0</v>
      </c>
      <c r="BK385" s="50">
        <v>0</v>
      </c>
      <c r="BL385" s="49">
        <v>8</v>
      </c>
      <c r="BM385" s="50">
        <v>100</v>
      </c>
      <c r="BN385" s="49">
        <v>8</v>
      </c>
    </row>
    <row r="386" spans="1:66" ht="15">
      <c r="A386" s="65" t="s">
        <v>347</v>
      </c>
      <c r="B386" s="65" t="s">
        <v>329</v>
      </c>
      <c r="C386" s="66" t="s">
        <v>2815</v>
      </c>
      <c r="D386" s="67">
        <v>3</v>
      </c>
      <c r="E386" s="66" t="s">
        <v>132</v>
      </c>
      <c r="F386" s="69">
        <v>32</v>
      </c>
      <c r="G386" s="66"/>
      <c r="H386" s="70"/>
      <c r="I386" s="71"/>
      <c r="J386" s="71"/>
      <c r="K386" s="35" t="s">
        <v>65</v>
      </c>
      <c r="L386" s="72">
        <v>386</v>
      </c>
      <c r="M386" s="72"/>
      <c r="N386" s="73"/>
      <c r="O386" s="80" t="s">
        <v>408</v>
      </c>
      <c r="P386" s="82">
        <v>44476.18537037037</v>
      </c>
      <c r="Q386" s="80" t="s">
        <v>496</v>
      </c>
      <c r="R386" s="85" t="str">
        <f>HYPERLINK("https://www.greenqueen.com.hk/hong-kong-cell-based-meat-study/")</f>
        <v>https://www.greenqueen.com.hk/hong-kong-cell-based-meat-study/</v>
      </c>
      <c r="S386" s="80" t="s">
        <v>525</v>
      </c>
      <c r="T386" s="80"/>
      <c r="U386" s="80"/>
      <c r="V386" s="85" t="str">
        <f>HYPERLINK("https://pbs.twimg.com/profile_images/1207023594204741634/oNEPNuoG_normal.jpg")</f>
        <v>https://pbs.twimg.com/profile_images/1207023594204741634/oNEPNuoG_normal.jpg</v>
      </c>
      <c r="W386" s="82">
        <v>44476.18537037037</v>
      </c>
      <c r="X386" s="87">
        <v>44476</v>
      </c>
      <c r="Y386" s="83" t="s">
        <v>725</v>
      </c>
      <c r="Z386" s="85" t="str">
        <f>HYPERLINK("https://twitter.com/craftmeati/status/1445968864626585600")</f>
        <v>https://twitter.com/craftmeati/status/1445968864626585600</v>
      </c>
      <c r="AA386" s="80"/>
      <c r="AB386" s="80"/>
      <c r="AC386" s="83" t="s">
        <v>912</v>
      </c>
      <c r="AD386" s="80"/>
      <c r="AE386" s="80" t="b">
        <v>0</v>
      </c>
      <c r="AF386" s="80">
        <v>0</v>
      </c>
      <c r="AG386" s="83" t="s">
        <v>952</v>
      </c>
      <c r="AH386" s="80" t="b">
        <v>0</v>
      </c>
      <c r="AI386" s="80" t="s">
        <v>967</v>
      </c>
      <c r="AJ386" s="80"/>
      <c r="AK386" s="83" t="s">
        <v>952</v>
      </c>
      <c r="AL386" s="80" t="b">
        <v>0</v>
      </c>
      <c r="AM386" s="80">
        <v>1</v>
      </c>
      <c r="AN386" s="83" t="s">
        <v>911</v>
      </c>
      <c r="AO386" s="83" t="s">
        <v>979</v>
      </c>
      <c r="AP386" s="80" t="b">
        <v>0</v>
      </c>
      <c r="AQ386" s="83" t="s">
        <v>911</v>
      </c>
      <c r="AR386" s="80" t="s">
        <v>196</v>
      </c>
      <c r="AS386" s="80">
        <v>0</v>
      </c>
      <c r="AT386" s="80">
        <v>0</v>
      </c>
      <c r="AU386" s="80"/>
      <c r="AV386" s="80"/>
      <c r="AW386" s="80"/>
      <c r="AX386" s="80"/>
      <c r="AY386" s="80"/>
      <c r="AZ386" s="80"/>
      <c r="BA386" s="80"/>
      <c r="BB386" s="80"/>
      <c r="BC386">
        <v>1</v>
      </c>
      <c r="BD386" s="79" t="str">
        <f>REPLACE(INDEX(GroupVertices[Group],MATCH(Edges[[#This Row],[Vertex 1]],GroupVertices[Vertex],0)),1,1,"")</f>
        <v>3</v>
      </c>
      <c r="BE386" s="79" t="str">
        <f>REPLACE(INDEX(GroupVertices[Group],MATCH(Edges[[#This Row],[Vertex 2]],GroupVertices[Vertex],0)),1,1,"")</f>
        <v>3</v>
      </c>
      <c r="BF386" s="49"/>
      <c r="BG386" s="50"/>
      <c r="BH386" s="49"/>
      <c r="BI386" s="50"/>
      <c r="BJ386" s="49"/>
      <c r="BK386" s="50"/>
      <c r="BL386" s="49"/>
      <c r="BM386" s="50"/>
      <c r="BN386" s="49"/>
    </row>
    <row r="387" spans="1:66" ht="15">
      <c r="A387" s="65" t="s">
        <v>350</v>
      </c>
      <c r="B387" s="65" t="s">
        <v>380</v>
      </c>
      <c r="C387" s="66" t="s">
        <v>2815</v>
      </c>
      <c r="D387" s="67">
        <v>3</v>
      </c>
      <c r="E387" s="66" t="s">
        <v>132</v>
      </c>
      <c r="F387" s="69">
        <v>32</v>
      </c>
      <c r="G387" s="66"/>
      <c r="H387" s="70"/>
      <c r="I387" s="71"/>
      <c r="J387" s="71"/>
      <c r="K387" s="35" t="s">
        <v>65</v>
      </c>
      <c r="L387" s="72">
        <v>387</v>
      </c>
      <c r="M387" s="72"/>
      <c r="N387" s="73"/>
      <c r="O387" s="80" t="s">
        <v>406</v>
      </c>
      <c r="P387" s="82">
        <v>44477.05459490741</v>
      </c>
      <c r="Q387" s="80" t="s">
        <v>438</v>
      </c>
      <c r="R387" s="80"/>
      <c r="S387" s="80"/>
      <c r="T387" s="83" t="s">
        <v>553</v>
      </c>
      <c r="U387" s="85" t="str">
        <f>HYPERLINK("https://pbs.twimg.com/media/FBI7gPFVQAMNirk.jpg")</f>
        <v>https://pbs.twimg.com/media/FBI7gPFVQAMNirk.jpg</v>
      </c>
      <c r="V387" s="85" t="str">
        <f>HYPERLINK("https://pbs.twimg.com/media/FBI7gPFVQAMNirk.jpg")</f>
        <v>https://pbs.twimg.com/media/FBI7gPFVQAMNirk.jpg</v>
      </c>
      <c r="W387" s="82">
        <v>44477.05459490741</v>
      </c>
      <c r="X387" s="87">
        <v>44477</v>
      </c>
      <c r="Y387" s="83" t="s">
        <v>727</v>
      </c>
      <c r="Z387" s="85" t="str">
        <f>HYPERLINK("https://twitter.com/mtffilm/status/1446283859042062338")</f>
        <v>https://twitter.com/mtffilm/status/1446283859042062338</v>
      </c>
      <c r="AA387" s="80"/>
      <c r="AB387" s="80"/>
      <c r="AC387" s="83" t="s">
        <v>914</v>
      </c>
      <c r="AD387" s="80"/>
      <c r="AE387" s="80" t="b">
        <v>0</v>
      </c>
      <c r="AF387" s="80">
        <v>13</v>
      </c>
      <c r="AG387" s="83" t="s">
        <v>952</v>
      </c>
      <c r="AH387" s="80" t="b">
        <v>0</v>
      </c>
      <c r="AI387" s="80" t="s">
        <v>967</v>
      </c>
      <c r="AJ387" s="80"/>
      <c r="AK387" s="83" t="s">
        <v>952</v>
      </c>
      <c r="AL387" s="80" t="b">
        <v>0</v>
      </c>
      <c r="AM387" s="80">
        <v>3</v>
      </c>
      <c r="AN387" s="83" t="s">
        <v>952</v>
      </c>
      <c r="AO387" s="83" t="s">
        <v>976</v>
      </c>
      <c r="AP387" s="80" t="b">
        <v>0</v>
      </c>
      <c r="AQ387" s="83" t="s">
        <v>914</v>
      </c>
      <c r="AR387" s="80" t="s">
        <v>196</v>
      </c>
      <c r="AS387" s="80">
        <v>0</v>
      </c>
      <c r="AT387" s="80">
        <v>0</v>
      </c>
      <c r="AU387" s="80"/>
      <c r="AV387" s="80"/>
      <c r="AW387" s="80"/>
      <c r="AX387" s="80"/>
      <c r="AY387" s="80"/>
      <c r="AZ387" s="80"/>
      <c r="BA387" s="80"/>
      <c r="BB387" s="80"/>
      <c r="BC387">
        <v>1</v>
      </c>
      <c r="BD387" s="79" t="str">
        <f>REPLACE(INDEX(GroupVertices[Group],MATCH(Edges[[#This Row],[Vertex 1]],GroupVertices[Vertex],0)),1,1,"")</f>
        <v>3</v>
      </c>
      <c r="BE387" s="79" t="str">
        <f>REPLACE(INDEX(GroupVertices[Group],MATCH(Edges[[#This Row],[Vertex 2]],GroupVertices[Vertex],0)),1,1,"")</f>
        <v>3</v>
      </c>
      <c r="BF387" s="49"/>
      <c r="BG387" s="50"/>
      <c r="BH387" s="49"/>
      <c r="BI387" s="50"/>
      <c r="BJ387" s="49"/>
      <c r="BK387" s="50"/>
      <c r="BL387" s="49"/>
      <c r="BM387" s="50"/>
      <c r="BN387" s="49"/>
    </row>
    <row r="388" spans="1:66" ht="15">
      <c r="A388" s="65" t="s">
        <v>347</v>
      </c>
      <c r="B388" s="65" t="s">
        <v>380</v>
      </c>
      <c r="C388" s="66" t="s">
        <v>2815</v>
      </c>
      <c r="D388" s="67">
        <v>3</v>
      </c>
      <c r="E388" s="66" t="s">
        <v>132</v>
      </c>
      <c r="F388" s="69">
        <v>32</v>
      </c>
      <c r="G388" s="66"/>
      <c r="H388" s="70"/>
      <c r="I388" s="71"/>
      <c r="J388" s="71"/>
      <c r="K388" s="35" t="s">
        <v>65</v>
      </c>
      <c r="L388" s="72">
        <v>388</v>
      </c>
      <c r="M388" s="72"/>
      <c r="N388" s="73"/>
      <c r="O388" s="80" t="s">
        <v>407</v>
      </c>
      <c r="P388" s="82">
        <v>44477.06700231481</v>
      </c>
      <c r="Q388" s="80" t="s">
        <v>438</v>
      </c>
      <c r="R388" s="80"/>
      <c r="S388" s="80"/>
      <c r="T388" s="83" t="s">
        <v>553</v>
      </c>
      <c r="U388" s="85" t="str">
        <f>HYPERLINK("https://pbs.twimg.com/media/FBI7gPFVQAMNirk.jpg")</f>
        <v>https://pbs.twimg.com/media/FBI7gPFVQAMNirk.jpg</v>
      </c>
      <c r="V388" s="85" t="str">
        <f>HYPERLINK("https://pbs.twimg.com/media/FBI7gPFVQAMNirk.jpg")</f>
        <v>https://pbs.twimg.com/media/FBI7gPFVQAMNirk.jpg</v>
      </c>
      <c r="W388" s="82">
        <v>44477.06700231481</v>
      </c>
      <c r="X388" s="87">
        <v>44477</v>
      </c>
      <c r="Y388" s="83" t="s">
        <v>728</v>
      </c>
      <c r="Z388" s="85" t="str">
        <f>HYPERLINK("https://twitter.com/craftmeati/status/1446288357835821056")</f>
        <v>https://twitter.com/craftmeati/status/1446288357835821056</v>
      </c>
      <c r="AA388" s="80"/>
      <c r="AB388" s="80"/>
      <c r="AC388" s="83" t="s">
        <v>915</v>
      </c>
      <c r="AD388" s="80"/>
      <c r="AE388" s="80" t="b">
        <v>0</v>
      </c>
      <c r="AF388" s="80">
        <v>0</v>
      </c>
      <c r="AG388" s="83" t="s">
        <v>952</v>
      </c>
      <c r="AH388" s="80" t="b">
        <v>0</v>
      </c>
      <c r="AI388" s="80" t="s">
        <v>967</v>
      </c>
      <c r="AJ388" s="80"/>
      <c r="AK388" s="83" t="s">
        <v>952</v>
      </c>
      <c r="AL388" s="80" t="b">
        <v>0</v>
      </c>
      <c r="AM388" s="80">
        <v>3</v>
      </c>
      <c r="AN388" s="83" t="s">
        <v>914</v>
      </c>
      <c r="AO388" s="83" t="s">
        <v>979</v>
      </c>
      <c r="AP388" s="80" t="b">
        <v>0</v>
      </c>
      <c r="AQ388" s="83" t="s">
        <v>914</v>
      </c>
      <c r="AR388" s="80" t="s">
        <v>196</v>
      </c>
      <c r="AS388" s="80">
        <v>0</v>
      </c>
      <c r="AT388" s="80">
        <v>0</v>
      </c>
      <c r="AU388" s="80"/>
      <c r="AV388" s="80"/>
      <c r="AW388" s="80"/>
      <c r="AX388" s="80"/>
      <c r="AY388" s="80"/>
      <c r="AZ388" s="80"/>
      <c r="BA388" s="80"/>
      <c r="BB388" s="80"/>
      <c r="BC388">
        <v>1</v>
      </c>
      <c r="BD388" s="79" t="str">
        <f>REPLACE(INDEX(GroupVertices[Group],MATCH(Edges[[#This Row],[Vertex 1]],GroupVertices[Vertex],0)),1,1,"")</f>
        <v>3</v>
      </c>
      <c r="BE388" s="79" t="str">
        <f>REPLACE(INDEX(GroupVertices[Group],MATCH(Edges[[#This Row],[Vertex 2]],GroupVertices[Vertex],0)),1,1,"")</f>
        <v>3</v>
      </c>
      <c r="BF388" s="49"/>
      <c r="BG388" s="50"/>
      <c r="BH388" s="49"/>
      <c r="BI388" s="50"/>
      <c r="BJ388" s="49"/>
      <c r="BK388" s="50"/>
      <c r="BL388" s="49"/>
      <c r="BM388" s="50"/>
      <c r="BN388" s="49"/>
    </row>
    <row r="389" spans="1:66" ht="15">
      <c r="A389" s="65" t="s">
        <v>350</v>
      </c>
      <c r="B389" s="65" t="s">
        <v>381</v>
      </c>
      <c r="C389" s="66" t="s">
        <v>2815</v>
      </c>
      <c r="D389" s="67">
        <v>3</v>
      </c>
      <c r="E389" s="66" t="s">
        <v>132</v>
      </c>
      <c r="F389" s="69">
        <v>32</v>
      </c>
      <c r="G389" s="66"/>
      <c r="H389" s="70"/>
      <c r="I389" s="71"/>
      <c r="J389" s="71"/>
      <c r="K389" s="35" t="s">
        <v>65</v>
      </c>
      <c r="L389" s="72">
        <v>389</v>
      </c>
      <c r="M389" s="72"/>
      <c r="N389" s="73"/>
      <c r="O389" s="80" t="s">
        <v>406</v>
      </c>
      <c r="P389" s="82">
        <v>44477.05459490741</v>
      </c>
      <c r="Q389" s="80" t="s">
        <v>438</v>
      </c>
      <c r="R389" s="80"/>
      <c r="S389" s="80"/>
      <c r="T389" s="83" t="s">
        <v>553</v>
      </c>
      <c r="U389" s="85" t="str">
        <f>HYPERLINK("https://pbs.twimg.com/media/FBI7gPFVQAMNirk.jpg")</f>
        <v>https://pbs.twimg.com/media/FBI7gPFVQAMNirk.jpg</v>
      </c>
      <c r="V389" s="85" t="str">
        <f>HYPERLINK("https://pbs.twimg.com/media/FBI7gPFVQAMNirk.jpg")</f>
        <v>https://pbs.twimg.com/media/FBI7gPFVQAMNirk.jpg</v>
      </c>
      <c r="W389" s="82">
        <v>44477.05459490741</v>
      </c>
      <c r="X389" s="87">
        <v>44477</v>
      </c>
      <c r="Y389" s="83" t="s">
        <v>727</v>
      </c>
      <c r="Z389" s="85" t="str">
        <f>HYPERLINK("https://twitter.com/mtffilm/status/1446283859042062338")</f>
        <v>https://twitter.com/mtffilm/status/1446283859042062338</v>
      </c>
      <c r="AA389" s="80"/>
      <c r="AB389" s="80"/>
      <c r="AC389" s="83" t="s">
        <v>914</v>
      </c>
      <c r="AD389" s="80"/>
      <c r="AE389" s="80" t="b">
        <v>0</v>
      </c>
      <c r="AF389" s="80">
        <v>13</v>
      </c>
      <c r="AG389" s="83" t="s">
        <v>952</v>
      </c>
      <c r="AH389" s="80" t="b">
        <v>0</v>
      </c>
      <c r="AI389" s="80" t="s">
        <v>967</v>
      </c>
      <c r="AJ389" s="80"/>
      <c r="AK389" s="83" t="s">
        <v>952</v>
      </c>
      <c r="AL389" s="80" t="b">
        <v>0</v>
      </c>
      <c r="AM389" s="80">
        <v>3</v>
      </c>
      <c r="AN389" s="83" t="s">
        <v>952</v>
      </c>
      <c r="AO389" s="83" t="s">
        <v>976</v>
      </c>
      <c r="AP389" s="80" t="b">
        <v>0</v>
      </c>
      <c r="AQ389" s="83" t="s">
        <v>914</v>
      </c>
      <c r="AR389" s="80" t="s">
        <v>196</v>
      </c>
      <c r="AS389" s="80">
        <v>0</v>
      </c>
      <c r="AT389" s="80">
        <v>0</v>
      </c>
      <c r="AU389" s="80"/>
      <c r="AV389" s="80"/>
      <c r="AW389" s="80"/>
      <c r="AX389" s="80"/>
      <c r="AY389" s="80"/>
      <c r="AZ389" s="80"/>
      <c r="BA389" s="80"/>
      <c r="BB389" s="80"/>
      <c r="BC389">
        <v>1</v>
      </c>
      <c r="BD389" s="79" t="str">
        <f>REPLACE(INDEX(GroupVertices[Group],MATCH(Edges[[#This Row],[Vertex 1]],GroupVertices[Vertex],0)),1,1,"")</f>
        <v>3</v>
      </c>
      <c r="BE389" s="79" t="str">
        <f>REPLACE(INDEX(GroupVertices[Group],MATCH(Edges[[#This Row],[Vertex 2]],GroupVertices[Vertex],0)),1,1,"")</f>
        <v>3</v>
      </c>
      <c r="BF389" s="49">
        <v>3</v>
      </c>
      <c r="BG389" s="50">
        <v>7.894736842105263</v>
      </c>
      <c r="BH389" s="49">
        <v>0</v>
      </c>
      <c r="BI389" s="50">
        <v>0</v>
      </c>
      <c r="BJ389" s="49">
        <v>0</v>
      </c>
      <c r="BK389" s="50">
        <v>0</v>
      </c>
      <c r="BL389" s="49">
        <v>35</v>
      </c>
      <c r="BM389" s="50">
        <v>92.10526315789474</v>
      </c>
      <c r="BN389" s="49">
        <v>38</v>
      </c>
    </row>
    <row r="390" spans="1:66" ht="15">
      <c r="A390" s="65" t="s">
        <v>347</v>
      </c>
      <c r="B390" s="65" t="s">
        <v>381</v>
      </c>
      <c r="C390" s="66" t="s">
        <v>2815</v>
      </c>
      <c r="D390" s="67">
        <v>3</v>
      </c>
      <c r="E390" s="66" t="s">
        <v>132</v>
      </c>
      <c r="F390" s="69">
        <v>32</v>
      </c>
      <c r="G390" s="66"/>
      <c r="H390" s="70"/>
      <c r="I390" s="71"/>
      <c r="J390" s="71"/>
      <c r="K390" s="35" t="s">
        <v>65</v>
      </c>
      <c r="L390" s="72">
        <v>390</v>
      </c>
      <c r="M390" s="72"/>
      <c r="N390" s="73"/>
      <c r="O390" s="80" t="s">
        <v>407</v>
      </c>
      <c r="P390" s="82">
        <v>44477.06700231481</v>
      </c>
      <c r="Q390" s="80" t="s">
        <v>438</v>
      </c>
      <c r="R390" s="80"/>
      <c r="S390" s="80"/>
      <c r="T390" s="83" t="s">
        <v>553</v>
      </c>
      <c r="U390" s="85" t="str">
        <f>HYPERLINK("https://pbs.twimg.com/media/FBI7gPFVQAMNirk.jpg")</f>
        <v>https://pbs.twimg.com/media/FBI7gPFVQAMNirk.jpg</v>
      </c>
      <c r="V390" s="85" t="str">
        <f>HYPERLINK("https://pbs.twimg.com/media/FBI7gPFVQAMNirk.jpg")</f>
        <v>https://pbs.twimg.com/media/FBI7gPFVQAMNirk.jpg</v>
      </c>
      <c r="W390" s="82">
        <v>44477.06700231481</v>
      </c>
      <c r="X390" s="87">
        <v>44477</v>
      </c>
      <c r="Y390" s="83" t="s">
        <v>728</v>
      </c>
      <c r="Z390" s="85" t="str">
        <f>HYPERLINK("https://twitter.com/craftmeati/status/1446288357835821056")</f>
        <v>https://twitter.com/craftmeati/status/1446288357835821056</v>
      </c>
      <c r="AA390" s="80"/>
      <c r="AB390" s="80"/>
      <c r="AC390" s="83" t="s">
        <v>915</v>
      </c>
      <c r="AD390" s="80"/>
      <c r="AE390" s="80" t="b">
        <v>0</v>
      </c>
      <c r="AF390" s="80">
        <v>0</v>
      </c>
      <c r="AG390" s="83" t="s">
        <v>952</v>
      </c>
      <c r="AH390" s="80" t="b">
        <v>0</v>
      </c>
      <c r="AI390" s="80" t="s">
        <v>967</v>
      </c>
      <c r="AJ390" s="80"/>
      <c r="AK390" s="83" t="s">
        <v>952</v>
      </c>
      <c r="AL390" s="80" t="b">
        <v>0</v>
      </c>
      <c r="AM390" s="80">
        <v>3</v>
      </c>
      <c r="AN390" s="83" t="s">
        <v>914</v>
      </c>
      <c r="AO390" s="83" t="s">
        <v>979</v>
      </c>
      <c r="AP390" s="80" t="b">
        <v>0</v>
      </c>
      <c r="AQ390" s="83" t="s">
        <v>914</v>
      </c>
      <c r="AR390" s="80" t="s">
        <v>196</v>
      </c>
      <c r="AS390" s="80">
        <v>0</v>
      </c>
      <c r="AT390" s="80">
        <v>0</v>
      </c>
      <c r="AU390" s="80"/>
      <c r="AV390" s="80"/>
      <c r="AW390" s="80"/>
      <c r="AX390" s="80"/>
      <c r="AY390" s="80"/>
      <c r="AZ390" s="80"/>
      <c r="BA390" s="80"/>
      <c r="BB390" s="80"/>
      <c r="BC390">
        <v>1</v>
      </c>
      <c r="BD390" s="79" t="str">
        <f>REPLACE(INDEX(GroupVertices[Group],MATCH(Edges[[#This Row],[Vertex 1]],GroupVertices[Vertex],0)),1,1,"")</f>
        <v>3</v>
      </c>
      <c r="BE390" s="79" t="str">
        <f>REPLACE(INDEX(GroupVertices[Group],MATCH(Edges[[#This Row],[Vertex 2]],GroupVertices[Vertex],0)),1,1,"")</f>
        <v>3</v>
      </c>
      <c r="BF390" s="49"/>
      <c r="BG390" s="50"/>
      <c r="BH390" s="49"/>
      <c r="BI390" s="50"/>
      <c r="BJ390" s="49"/>
      <c r="BK390" s="50"/>
      <c r="BL390" s="49"/>
      <c r="BM390" s="50"/>
      <c r="BN390" s="49"/>
    </row>
    <row r="391" spans="1:66" ht="15">
      <c r="A391" s="65" t="s">
        <v>347</v>
      </c>
      <c r="B391" s="65" t="s">
        <v>350</v>
      </c>
      <c r="C391" s="66" t="s">
        <v>2815</v>
      </c>
      <c r="D391" s="67">
        <v>3</v>
      </c>
      <c r="E391" s="66" t="s">
        <v>132</v>
      </c>
      <c r="F391" s="69">
        <v>32</v>
      </c>
      <c r="G391" s="66"/>
      <c r="H391" s="70"/>
      <c r="I391" s="71"/>
      <c r="J391" s="71"/>
      <c r="K391" s="35" t="s">
        <v>65</v>
      </c>
      <c r="L391" s="72">
        <v>391</v>
      </c>
      <c r="M391" s="72"/>
      <c r="N391" s="73"/>
      <c r="O391" s="80" t="s">
        <v>408</v>
      </c>
      <c r="P391" s="82">
        <v>44477.06700231481</v>
      </c>
      <c r="Q391" s="80" t="s">
        <v>438</v>
      </c>
      <c r="R391" s="80"/>
      <c r="S391" s="80"/>
      <c r="T391" s="83" t="s">
        <v>553</v>
      </c>
      <c r="U391" s="85" t="str">
        <f>HYPERLINK("https://pbs.twimg.com/media/FBI7gPFVQAMNirk.jpg")</f>
        <v>https://pbs.twimg.com/media/FBI7gPFVQAMNirk.jpg</v>
      </c>
      <c r="V391" s="85" t="str">
        <f>HYPERLINK("https://pbs.twimg.com/media/FBI7gPFVQAMNirk.jpg")</f>
        <v>https://pbs.twimg.com/media/FBI7gPFVQAMNirk.jpg</v>
      </c>
      <c r="W391" s="82">
        <v>44477.06700231481</v>
      </c>
      <c r="X391" s="87">
        <v>44477</v>
      </c>
      <c r="Y391" s="83" t="s">
        <v>728</v>
      </c>
      <c r="Z391" s="85" t="str">
        <f>HYPERLINK("https://twitter.com/craftmeati/status/1446288357835821056")</f>
        <v>https://twitter.com/craftmeati/status/1446288357835821056</v>
      </c>
      <c r="AA391" s="80"/>
      <c r="AB391" s="80"/>
      <c r="AC391" s="83" t="s">
        <v>915</v>
      </c>
      <c r="AD391" s="80"/>
      <c r="AE391" s="80" t="b">
        <v>0</v>
      </c>
      <c r="AF391" s="80">
        <v>0</v>
      </c>
      <c r="AG391" s="83" t="s">
        <v>952</v>
      </c>
      <c r="AH391" s="80" t="b">
        <v>0</v>
      </c>
      <c r="AI391" s="80" t="s">
        <v>967</v>
      </c>
      <c r="AJ391" s="80"/>
      <c r="AK391" s="83" t="s">
        <v>952</v>
      </c>
      <c r="AL391" s="80" t="b">
        <v>0</v>
      </c>
      <c r="AM391" s="80">
        <v>3</v>
      </c>
      <c r="AN391" s="83" t="s">
        <v>914</v>
      </c>
      <c r="AO391" s="83" t="s">
        <v>979</v>
      </c>
      <c r="AP391" s="80" t="b">
        <v>0</v>
      </c>
      <c r="AQ391" s="83" t="s">
        <v>914</v>
      </c>
      <c r="AR391" s="80" t="s">
        <v>196</v>
      </c>
      <c r="AS391" s="80">
        <v>0</v>
      </c>
      <c r="AT391" s="80">
        <v>0</v>
      </c>
      <c r="AU391" s="80"/>
      <c r="AV391" s="80"/>
      <c r="AW391" s="80"/>
      <c r="AX391" s="80"/>
      <c r="AY391" s="80"/>
      <c r="AZ391" s="80"/>
      <c r="BA391" s="80"/>
      <c r="BB391" s="80"/>
      <c r="BC391">
        <v>1</v>
      </c>
      <c r="BD391" s="79" t="str">
        <f>REPLACE(INDEX(GroupVertices[Group],MATCH(Edges[[#This Row],[Vertex 1]],GroupVertices[Vertex],0)),1,1,"")</f>
        <v>3</v>
      </c>
      <c r="BE391" s="79" t="str">
        <f>REPLACE(INDEX(GroupVertices[Group],MATCH(Edges[[#This Row],[Vertex 2]],GroupVertices[Vertex],0)),1,1,"")</f>
        <v>3</v>
      </c>
      <c r="BF391" s="49">
        <v>3</v>
      </c>
      <c r="BG391" s="50">
        <v>7.894736842105263</v>
      </c>
      <c r="BH391" s="49">
        <v>0</v>
      </c>
      <c r="BI391" s="50">
        <v>0</v>
      </c>
      <c r="BJ391" s="49">
        <v>0</v>
      </c>
      <c r="BK391" s="50">
        <v>0</v>
      </c>
      <c r="BL391" s="49">
        <v>35</v>
      </c>
      <c r="BM391" s="50">
        <v>92.10526315789474</v>
      </c>
      <c r="BN391" s="49">
        <v>38</v>
      </c>
    </row>
    <row r="392" spans="1:66" ht="15">
      <c r="A392" s="65" t="s">
        <v>351</v>
      </c>
      <c r="B392" s="65" t="s">
        <v>351</v>
      </c>
      <c r="C392" s="66" t="s">
        <v>2815</v>
      </c>
      <c r="D392" s="67">
        <v>3</v>
      </c>
      <c r="E392" s="66" t="s">
        <v>132</v>
      </c>
      <c r="F392" s="69">
        <v>32</v>
      </c>
      <c r="G392" s="66"/>
      <c r="H392" s="70"/>
      <c r="I392" s="71"/>
      <c r="J392" s="71"/>
      <c r="K392" s="35" t="s">
        <v>65</v>
      </c>
      <c r="L392" s="72">
        <v>392</v>
      </c>
      <c r="M392" s="72"/>
      <c r="N392" s="73"/>
      <c r="O392" s="80" t="s">
        <v>196</v>
      </c>
      <c r="P392" s="82">
        <v>44475.58907407407</v>
      </c>
      <c r="Q392" s="80" t="s">
        <v>498</v>
      </c>
      <c r="R392" s="85" t="str">
        <f>HYPERLINK("https://www.foodingredientsfirst.com/news/cell-based-antelope-could-cultured-meat-unlock-southern-africas-nutrition-problems.html#.YV2so6A7Z2A.twitter")</f>
        <v>https://www.foodingredientsfirst.com/news/cell-based-antelope-could-cultured-meat-unlock-southern-africas-nutrition-problems.html#.YV2so6A7Z2A.twitter</v>
      </c>
      <c r="S392" s="80" t="s">
        <v>543</v>
      </c>
      <c r="T392" s="83" t="s">
        <v>562</v>
      </c>
      <c r="U392" s="80"/>
      <c r="V392" s="85" t="str">
        <f>HYPERLINK("https://pbs.twimg.com/profile_images/710049013966487552/xyQ5j5sJ_normal.jpg")</f>
        <v>https://pbs.twimg.com/profile_images/710049013966487552/xyQ5j5sJ_normal.jpg</v>
      </c>
      <c r="W392" s="82">
        <v>44475.58907407407</v>
      </c>
      <c r="X392" s="87">
        <v>44475</v>
      </c>
      <c r="Y392" s="83" t="s">
        <v>729</v>
      </c>
      <c r="Z392" s="85" t="str">
        <f>HYPERLINK("https://twitter.com/fooding1st/status/1445752773035716631")</f>
        <v>https://twitter.com/fooding1st/status/1445752773035716631</v>
      </c>
      <c r="AA392" s="80"/>
      <c r="AB392" s="80"/>
      <c r="AC392" s="83" t="s">
        <v>916</v>
      </c>
      <c r="AD392" s="80"/>
      <c r="AE392" s="80" t="b">
        <v>0</v>
      </c>
      <c r="AF392" s="80">
        <v>0</v>
      </c>
      <c r="AG392" s="83" t="s">
        <v>952</v>
      </c>
      <c r="AH392" s="80" t="b">
        <v>0</v>
      </c>
      <c r="AI392" s="80" t="s">
        <v>967</v>
      </c>
      <c r="AJ392" s="80"/>
      <c r="AK392" s="83" t="s">
        <v>952</v>
      </c>
      <c r="AL392" s="80" t="b">
        <v>0</v>
      </c>
      <c r="AM392" s="80">
        <v>0</v>
      </c>
      <c r="AN392" s="83" t="s">
        <v>952</v>
      </c>
      <c r="AO392" s="83" t="s">
        <v>972</v>
      </c>
      <c r="AP392" s="80" t="b">
        <v>0</v>
      </c>
      <c r="AQ392" s="83" t="s">
        <v>916</v>
      </c>
      <c r="AR392" s="80" t="s">
        <v>196</v>
      </c>
      <c r="AS392" s="80">
        <v>0</v>
      </c>
      <c r="AT392" s="80">
        <v>0</v>
      </c>
      <c r="AU392" s="80"/>
      <c r="AV392" s="80"/>
      <c r="AW392" s="80"/>
      <c r="AX392" s="80"/>
      <c r="AY392" s="80"/>
      <c r="AZ392" s="80"/>
      <c r="BA392" s="80"/>
      <c r="BB392" s="80"/>
      <c r="BC392">
        <v>1</v>
      </c>
      <c r="BD392" s="79" t="str">
        <f>REPLACE(INDEX(GroupVertices[Group],MATCH(Edges[[#This Row],[Vertex 1]],GroupVertices[Vertex],0)),1,1,"")</f>
        <v>3</v>
      </c>
      <c r="BE392" s="79" t="str">
        <f>REPLACE(INDEX(GroupVertices[Group],MATCH(Edges[[#This Row],[Vertex 2]],GroupVertices[Vertex],0)),1,1,"")</f>
        <v>3</v>
      </c>
      <c r="BF392" s="49">
        <v>1</v>
      </c>
      <c r="BG392" s="50">
        <v>5.882352941176471</v>
      </c>
      <c r="BH392" s="49">
        <v>1</v>
      </c>
      <c r="BI392" s="50">
        <v>5.882352941176471</v>
      </c>
      <c r="BJ392" s="49">
        <v>0</v>
      </c>
      <c r="BK392" s="50">
        <v>0</v>
      </c>
      <c r="BL392" s="49">
        <v>15</v>
      </c>
      <c r="BM392" s="50">
        <v>88.23529411764706</v>
      </c>
      <c r="BN392" s="49">
        <v>17</v>
      </c>
    </row>
    <row r="393" spans="1:66" ht="15">
      <c r="A393" s="65" t="s">
        <v>352</v>
      </c>
      <c r="B393" s="65" t="s">
        <v>351</v>
      </c>
      <c r="C393" s="66" t="s">
        <v>2815</v>
      </c>
      <c r="D393" s="67">
        <v>3</v>
      </c>
      <c r="E393" s="66" t="s">
        <v>132</v>
      </c>
      <c r="F393" s="69">
        <v>32</v>
      </c>
      <c r="G393" s="66"/>
      <c r="H393" s="70"/>
      <c r="I393" s="71"/>
      <c r="J393" s="71"/>
      <c r="K393" s="35" t="s">
        <v>65</v>
      </c>
      <c r="L393" s="72">
        <v>393</v>
      </c>
      <c r="M393" s="72"/>
      <c r="N393" s="73"/>
      <c r="O393" s="80" t="s">
        <v>406</v>
      </c>
      <c r="P393" s="82">
        <v>44477.667719907404</v>
      </c>
      <c r="Q393" s="80" t="s">
        <v>499</v>
      </c>
      <c r="R393" s="85" t="str">
        <f>HYPERLINK("https://www.foodingredientsfirst.com/news/cell-based-antelope-could-cultured-meat-unlock-southern-africas-nutrition-problems.html")</f>
        <v>https://www.foodingredientsfirst.com/news/cell-based-antelope-could-cultured-meat-unlock-southern-africas-nutrition-problems.html</v>
      </c>
      <c r="S393" s="80" t="s">
        <v>543</v>
      </c>
      <c r="T393" s="83" t="s">
        <v>563</v>
      </c>
      <c r="U393" s="80"/>
      <c r="V393" s="85" t="str">
        <f>HYPERLINK("https://pbs.twimg.com/profile_images/1197225094000582657/OIolEPeF_normal.jpg")</f>
        <v>https://pbs.twimg.com/profile_images/1197225094000582657/OIolEPeF_normal.jpg</v>
      </c>
      <c r="W393" s="82">
        <v>44477.667719907404</v>
      </c>
      <c r="X393" s="87">
        <v>44477</v>
      </c>
      <c r="Y393" s="83" t="s">
        <v>730</v>
      </c>
      <c r="Z393" s="85" t="str">
        <f>HYPERLINK("https://twitter.com/protein_report/status/1446506047137619969")</f>
        <v>https://twitter.com/protein_report/status/1446506047137619969</v>
      </c>
      <c r="AA393" s="80"/>
      <c r="AB393" s="80"/>
      <c r="AC393" s="83" t="s">
        <v>917</v>
      </c>
      <c r="AD393" s="80"/>
      <c r="AE393" s="80" t="b">
        <v>0</v>
      </c>
      <c r="AF393" s="80">
        <v>2</v>
      </c>
      <c r="AG393" s="83" t="s">
        <v>952</v>
      </c>
      <c r="AH393" s="80" t="b">
        <v>0</v>
      </c>
      <c r="AI393" s="80" t="s">
        <v>967</v>
      </c>
      <c r="AJ393" s="80"/>
      <c r="AK393" s="83" t="s">
        <v>952</v>
      </c>
      <c r="AL393" s="80" t="b">
        <v>0</v>
      </c>
      <c r="AM393" s="80">
        <v>1</v>
      </c>
      <c r="AN393" s="83" t="s">
        <v>952</v>
      </c>
      <c r="AO393" s="83" t="s">
        <v>994</v>
      </c>
      <c r="AP393" s="80" t="b">
        <v>0</v>
      </c>
      <c r="AQ393" s="83" t="s">
        <v>917</v>
      </c>
      <c r="AR393" s="80" t="s">
        <v>196</v>
      </c>
      <c r="AS393" s="80">
        <v>0</v>
      </c>
      <c r="AT393" s="80">
        <v>0</v>
      </c>
      <c r="AU393" s="80"/>
      <c r="AV393" s="80"/>
      <c r="AW393" s="80"/>
      <c r="AX393" s="80"/>
      <c r="AY393" s="80"/>
      <c r="AZ393" s="80"/>
      <c r="BA393" s="80"/>
      <c r="BB393" s="80"/>
      <c r="BC393">
        <v>1</v>
      </c>
      <c r="BD393" s="79" t="str">
        <f>REPLACE(INDEX(GroupVertices[Group],MATCH(Edges[[#This Row],[Vertex 1]],GroupVertices[Vertex],0)),1,1,"")</f>
        <v>3</v>
      </c>
      <c r="BE393" s="79" t="str">
        <f>REPLACE(INDEX(GroupVertices[Group],MATCH(Edges[[#This Row],[Vertex 2]],GroupVertices[Vertex],0)),1,1,"")</f>
        <v>3</v>
      </c>
      <c r="BF393" s="49"/>
      <c r="BG393" s="50"/>
      <c r="BH393" s="49"/>
      <c r="BI393" s="50"/>
      <c r="BJ393" s="49"/>
      <c r="BK393" s="50"/>
      <c r="BL393" s="49"/>
      <c r="BM393" s="50"/>
      <c r="BN393" s="49"/>
    </row>
    <row r="394" spans="1:66" ht="15">
      <c r="A394" s="65" t="s">
        <v>347</v>
      </c>
      <c r="B394" s="65" t="s">
        <v>351</v>
      </c>
      <c r="C394" s="66" t="s">
        <v>2815</v>
      </c>
      <c r="D394" s="67">
        <v>3</v>
      </c>
      <c r="E394" s="66" t="s">
        <v>132</v>
      </c>
      <c r="F394" s="69">
        <v>32</v>
      </c>
      <c r="G394" s="66"/>
      <c r="H394" s="70"/>
      <c r="I394" s="71"/>
      <c r="J394" s="71"/>
      <c r="K394" s="35" t="s">
        <v>65</v>
      </c>
      <c r="L394" s="72">
        <v>394</v>
      </c>
      <c r="M394" s="72"/>
      <c r="N394" s="73"/>
      <c r="O394" s="80" t="s">
        <v>407</v>
      </c>
      <c r="P394" s="82">
        <v>44477.68777777778</v>
      </c>
      <c r="Q394" s="80" t="s">
        <v>499</v>
      </c>
      <c r="R394" s="85" t="str">
        <f>HYPERLINK("https://www.foodingredientsfirst.com/news/cell-based-antelope-could-cultured-meat-unlock-southern-africas-nutrition-problems.html")</f>
        <v>https://www.foodingredientsfirst.com/news/cell-based-antelope-could-cultured-meat-unlock-southern-africas-nutrition-problems.html</v>
      </c>
      <c r="S394" s="80" t="s">
        <v>543</v>
      </c>
      <c r="T394" s="83" t="s">
        <v>563</v>
      </c>
      <c r="U394" s="80"/>
      <c r="V394" s="85" t="str">
        <f>HYPERLINK("https://pbs.twimg.com/profile_images/1207023594204741634/oNEPNuoG_normal.jpg")</f>
        <v>https://pbs.twimg.com/profile_images/1207023594204741634/oNEPNuoG_normal.jpg</v>
      </c>
      <c r="W394" s="82">
        <v>44477.68777777778</v>
      </c>
      <c r="X394" s="87">
        <v>44477</v>
      </c>
      <c r="Y394" s="83" t="s">
        <v>731</v>
      </c>
      <c r="Z394" s="85" t="str">
        <f>HYPERLINK("https://twitter.com/craftmeati/status/1446513319632850955")</f>
        <v>https://twitter.com/craftmeati/status/1446513319632850955</v>
      </c>
      <c r="AA394" s="80"/>
      <c r="AB394" s="80"/>
      <c r="AC394" s="83" t="s">
        <v>918</v>
      </c>
      <c r="AD394" s="80"/>
      <c r="AE394" s="80" t="b">
        <v>0</v>
      </c>
      <c r="AF394" s="80">
        <v>0</v>
      </c>
      <c r="AG394" s="83" t="s">
        <v>952</v>
      </c>
      <c r="AH394" s="80" t="b">
        <v>0</v>
      </c>
      <c r="AI394" s="80" t="s">
        <v>967</v>
      </c>
      <c r="AJ394" s="80"/>
      <c r="AK394" s="83" t="s">
        <v>952</v>
      </c>
      <c r="AL394" s="80" t="b">
        <v>0</v>
      </c>
      <c r="AM394" s="80">
        <v>1</v>
      </c>
      <c r="AN394" s="83" t="s">
        <v>917</v>
      </c>
      <c r="AO394" s="83" t="s">
        <v>979</v>
      </c>
      <c r="AP394" s="80" t="b">
        <v>0</v>
      </c>
      <c r="AQ394" s="83" t="s">
        <v>917</v>
      </c>
      <c r="AR394" s="80" t="s">
        <v>196</v>
      </c>
      <c r="AS394" s="80">
        <v>0</v>
      </c>
      <c r="AT394" s="80">
        <v>0</v>
      </c>
      <c r="AU394" s="80"/>
      <c r="AV394" s="80"/>
      <c r="AW394" s="80"/>
      <c r="AX394" s="80"/>
      <c r="AY394" s="80"/>
      <c r="AZ394" s="80"/>
      <c r="BA394" s="80"/>
      <c r="BB394" s="80"/>
      <c r="BC394">
        <v>1</v>
      </c>
      <c r="BD394" s="79" t="str">
        <f>REPLACE(INDEX(GroupVertices[Group],MATCH(Edges[[#This Row],[Vertex 1]],GroupVertices[Vertex],0)),1,1,"")</f>
        <v>3</v>
      </c>
      <c r="BE394" s="79" t="str">
        <f>REPLACE(INDEX(GroupVertices[Group],MATCH(Edges[[#This Row],[Vertex 2]],GroupVertices[Vertex],0)),1,1,"")</f>
        <v>3</v>
      </c>
      <c r="BF394" s="49"/>
      <c r="BG394" s="50"/>
      <c r="BH394" s="49"/>
      <c r="BI394" s="50"/>
      <c r="BJ394" s="49"/>
      <c r="BK394" s="50"/>
      <c r="BL394" s="49"/>
      <c r="BM394" s="50"/>
      <c r="BN394" s="49"/>
    </row>
    <row r="395" spans="1:66" ht="15">
      <c r="A395" s="65" t="s">
        <v>352</v>
      </c>
      <c r="B395" s="65" t="s">
        <v>402</v>
      </c>
      <c r="C395" s="66" t="s">
        <v>2815</v>
      </c>
      <c r="D395" s="67">
        <v>3</v>
      </c>
      <c r="E395" s="66" t="s">
        <v>132</v>
      </c>
      <c r="F395" s="69">
        <v>32</v>
      </c>
      <c r="G395" s="66"/>
      <c r="H395" s="70"/>
      <c r="I395" s="71"/>
      <c r="J395" s="71"/>
      <c r="K395" s="35" t="s">
        <v>65</v>
      </c>
      <c r="L395" s="72">
        <v>395</v>
      </c>
      <c r="M395" s="72"/>
      <c r="N395" s="73"/>
      <c r="O395" s="80" t="s">
        <v>406</v>
      </c>
      <c r="P395" s="82">
        <v>44477.667719907404</v>
      </c>
      <c r="Q395" s="80" t="s">
        <v>499</v>
      </c>
      <c r="R395" s="85" t="str">
        <f>HYPERLINK("https://www.foodingredientsfirst.com/news/cell-based-antelope-could-cultured-meat-unlock-southern-africas-nutrition-problems.html")</f>
        <v>https://www.foodingredientsfirst.com/news/cell-based-antelope-could-cultured-meat-unlock-southern-africas-nutrition-problems.html</v>
      </c>
      <c r="S395" s="80" t="s">
        <v>543</v>
      </c>
      <c r="T395" s="83" t="s">
        <v>563</v>
      </c>
      <c r="U395" s="80"/>
      <c r="V395" s="85" t="str">
        <f>HYPERLINK("https://pbs.twimg.com/profile_images/1197225094000582657/OIolEPeF_normal.jpg")</f>
        <v>https://pbs.twimg.com/profile_images/1197225094000582657/OIolEPeF_normal.jpg</v>
      </c>
      <c r="W395" s="82">
        <v>44477.667719907404</v>
      </c>
      <c r="X395" s="87">
        <v>44477</v>
      </c>
      <c r="Y395" s="83" t="s">
        <v>730</v>
      </c>
      <c r="Z395" s="85" t="str">
        <f>HYPERLINK("https://twitter.com/protein_report/status/1446506047137619969")</f>
        <v>https://twitter.com/protein_report/status/1446506047137619969</v>
      </c>
      <c r="AA395" s="80"/>
      <c r="AB395" s="80"/>
      <c r="AC395" s="83" t="s">
        <v>917</v>
      </c>
      <c r="AD395" s="80"/>
      <c r="AE395" s="80" t="b">
        <v>0</v>
      </c>
      <c r="AF395" s="80">
        <v>2</v>
      </c>
      <c r="AG395" s="83" t="s">
        <v>952</v>
      </c>
      <c r="AH395" s="80" t="b">
        <v>0</v>
      </c>
      <c r="AI395" s="80" t="s">
        <v>967</v>
      </c>
      <c r="AJ395" s="80"/>
      <c r="AK395" s="83" t="s">
        <v>952</v>
      </c>
      <c r="AL395" s="80" t="b">
        <v>0</v>
      </c>
      <c r="AM395" s="80">
        <v>1</v>
      </c>
      <c r="AN395" s="83" t="s">
        <v>952</v>
      </c>
      <c r="AO395" s="83" t="s">
        <v>994</v>
      </c>
      <c r="AP395" s="80" t="b">
        <v>0</v>
      </c>
      <c r="AQ395" s="83" t="s">
        <v>917</v>
      </c>
      <c r="AR395" s="80" t="s">
        <v>196</v>
      </c>
      <c r="AS395" s="80">
        <v>0</v>
      </c>
      <c r="AT395" s="80">
        <v>0</v>
      </c>
      <c r="AU395" s="80"/>
      <c r="AV395" s="80"/>
      <c r="AW395" s="80"/>
      <c r="AX395" s="80"/>
      <c r="AY395" s="80"/>
      <c r="AZ395" s="80"/>
      <c r="BA395" s="80"/>
      <c r="BB395" s="80"/>
      <c r="BC395">
        <v>1</v>
      </c>
      <c r="BD395" s="79" t="str">
        <f>REPLACE(INDEX(GroupVertices[Group],MATCH(Edges[[#This Row],[Vertex 1]],GroupVertices[Vertex],0)),1,1,"")</f>
        <v>3</v>
      </c>
      <c r="BE395" s="79" t="str">
        <f>REPLACE(INDEX(GroupVertices[Group],MATCH(Edges[[#This Row],[Vertex 2]],GroupVertices[Vertex],0)),1,1,"")</f>
        <v>3</v>
      </c>
      <c r="BF395" s="49">
        <v>1</v>
      </c>
      <c r="BG395" s="50">
        <v>3.8461538461538463</v>
      </c>
      <c r="BH395" s="49">
        <v>0</v>
      </c>
      <c r="BI395" s="50">
        <v>0</v>
      </c>
      <c r="BJ395" s="49">
        <v>0</v>
      </c>
      <c r="BK395" s="50">
        <v>0</v>
      </c>
      <c r="BL395" s="49">
        <v>25</v>
      </c>
      <c r="BM395" s="50">
        <v>96.15384615384616</v>
      </c>
      <c r="BN395" s="49">
        <v>26</v>
      </c>
    </row>
    <row r="396" spans="1:66" ht="15">
      <c r="A396" s="65" t="s">
        <v>347</v>
      </c>
      <c r="B396" s="65" t="s">
        <v>402</v>
      </c>
      <c r="C396" s="66" t="s">
        <v>2815</v>
      </c>
      <c r="D396" s="67">
        <v>3</v>
      </c>
      <c r="E396" s="66" t="s">
        <v>132</v>
      </c>
      <c r="F396" s="69">
        <v>32</v>
      </c>
      <c r="G396" s="66"/>
      <c r="H396" s="70"/>
      <c r="I396" s="71"/>
      <c r="J396" s="71"/>
      <c r="K396" s="35" t="s">
        <v>65</v>
      </c>
      <c r="L396" s="72">
        <v>396</v>
      </c>
      <c r="M396" s="72"/>
      <c r="N396" s="73"/>
      <c r="O396" s="80" t="s">
        <v>407</v>
      </c>
      <c r="P396" s="82">
        <v>44477.68777777778</v>
      </c>
      <c r="Q396" s="80" t="s">
        <v>499</v>
      </c>
      <c r="R396" s="85" t="str">
        <f>HYPERLINK("https://www.foodingredientsfirst.com/news/cell-based-antelope-could-cultured-meat-unlock-southern-africas-nutrition-problems.html")</f>
        <v>https://www.foodingredientsfirst.com/news/cell-based-antelope-could-cultured-meat-unlock-southern-africas-nutrition-problems.html</v>
      </c>
      <c r="S396" s="80" t="s">
        <v>543</v>
      </c>
      <c r="T396" s="83" t="s">
        <v>563</v>
      </c>
      <c r="U396" s="80"/>
      <c r="V396" s="85" t="str">
        <f>HYPERLINK("https://pbs.twimg.com/profile_images/1207023594204741634/oNEPNuoG_normal.jpg")</f>
        <v>https://pbs.twimg.com/profile_images/1207023594204741634/oNEPNuoG_normal.jpg</v>
      </c>
      <c r="W396" s="82">
        <v>44477.68777777778</v>
      </c>
      <c r="X396" s="87">
        <v>44477</v>
      </c>
      <c r="Y396" s="83" t="s">
        <v>731</v>
      </c>
      <c r="Z396" s="85" t="str">
        <f>HYPERLINK("https://twitter.com/craftmeati/status/1446513319632850955")</f>
        <v>https://twitter.com/craftmeati/status/1446513319632850955</v>
      </c>
      <c r="AA396" s="80"/>
      <c r="AB396" s="80"/>
      <c r="AC396" s="83" t="s">
        <v>918</v>
      </c>
      <c r="AD396" s="80"/>
      <c r="AE396" s="80" t="b">
        <v>0</v>
      </c>
      <c r="AF396" s="80">
        <v>0</v>
      </c>
      <c r="AG396" s="83" t="s">
        <v>952</v>
      </c>
      <c r="AH396" s="80" t="b">
        <v>0</v>
      </c>
      <c r="AI396" s="80" t="s">
        <v>967</v>
      </c>
      <c r="AJ396" s="80"/>
      <c r="AK396" s="83" t="s">
        <v>952</v>
      </c>
      <c r="AL396" s="80" t="b">
        <v>0</v>
      </c>
      <c r="AM396" s="80">
        <v>1</v>
      </c>
      <c r="AN396" s="83" t="s">
        <v>917</v>
      </c>
      <c r="AO396" s="83" t="s">
        <v>979</v>
      </c>
      <c r="AP396" s="80" t="b">
        <v>0</v>
      </c>
      <c r="AQ396" s="83" t="s">
        <v>917</v>
      </c>
      <c r="AR396" s="80" t="s">
        <v>196</v>
      </c>
      <c r="AS396" s="80">
        <v>0</v>
      </c>
      <c r="AT396" s="80">
        <v>0</v>
      </c>
      <c r="AU396" s="80"/>
      <c r="AV396" s="80"/>
      <c r="AW396" s="80"/>
      <c r="AX396" s="80"/>
      <c r="AY396" s="80"/>
      <c r="AZ396" s="80"/>
      <c r="BA396" s="80"/>
      <c r="BB396" s="80"/>
      <c r="BC396">
        <v>1</v>
      </c>
      <c r="BD396" s="79" t="str">
        <f>REPLACE(INDEX(GroupVertices[Group],MATCH(Edges[[#This Row],[Vertex 1]],GroupVertices[Vertex],0)),1,1,"")</f>
        <v>3</v>
      </c>
      <c r="BE396" s="79" t="str">
        <f>REPLACE(INDEX(GroupVertices[Group],MATCH(Edges[[#This Row],[Vertex 2]],GroupVertices[Vertex],0)),1,1,"")</f>
        <v>3</v>
      </c>
      <c r="BF396" s="49">
        <v>1</v>
      </c>
      <c r="BG396" s="50">
        <v>3.8461538461538463</v>
      </c>
      <c r="BH396" s="49">
        <v>0</v>
      </c>
      <c r="BI396" s="50">
        <v>0</v>
      </c>
      <c r="BJ396" s="49">
        <v>0</v>
      </c>
      <c r="BK396" s="50">
        <v>0</v>
      </c>
      <c r="BL396" s="49">
        <v>25</v>
      </c>
      <c r="BM396" s="50">
        <v>96.15384615384616</v>
      </c>
      <c r="BN396" s="49">
        <v>26</v>
      </c>
    </row>
    <row r="397" spans="1:66" ht="15">
      <c r="A397" s="65" t="s">
        <v>347</v>
      </c>
      <c r="B397" s="65" t="s">
        <v>352</v>
      </c>
      <c r="C397" s="66" t="s">
        <v>2815</v>
      </c>
      <c r="D397" s="67">
        <v>3</v>
      </c>
      <c r="E397" s="66" t="s">
        <v>132</v>
      </c>
      <c r="F397" s="69">
        <v>32</v>
      </c>
      <c r="G397" s="66"/>
      <c r="H397" s="70"/>
      <c r="I397" s="71"/>
      <c r="J397" s="71"/>
      <c r="K397" s="35" t="s">
        <v>65</v>
      </c>
      <c r="L397" s="72">
        <v>397</v>
      </c>
      <c r="M397" s="72"/>
      <c r="N397" s="73"/>
      <c r="O397" s="80" t="s">
        <v>408</v>
      </c>
      <c r="P397" s="82">
        <v>44477.68777777778</v>
      </c>
      <c r="Q397" s="80" t="s">
        <v>499</v>
      </c>
      <c r="R397" s="85" t="str">
        <f>HYPERLINK("https://www.foodingredientsfirst.com/news/cell-based-antelope-could-cultured-meat-unlock-southern-africas-nutrition-problems.html")</f>
        <v>https://www.foodingredientsfirst.com/news/cell-based-antelope-could-cultured-meat-unlock-southern-africas-nutrition-problems.html</v>
      </c>
      <c r="S397" s="80" t="s">
        <v>543</v>
      </c>
      <c r="T397" s="83" t="s">
        <v>563</v>
      </c>
      <c r="U397" s="80"/>
      <c r="V397" s="85" t="str">
        <f>HYPERLINK("https://pbs.twimg.com/profile_images/1207023594204741634/oNEPNuoG_normal.jpg")</f>
        <v>https://pbs.twimg.com/profile_images/1207023594204741634/oNEPNuoG_normal.jpg</v>
      </c>
      <c r="W397" s="82">
        <v>44477.68777777778</v>
      </c>
      <c r="X397" s="87">
        <v>44477</v>
      </c>
      <c r="Y397" s="83" t="s">
        <v>731</v>
      </c>
      <c r="Z397" s="85" t="str">
        <f>HYPERLINK("https://twitter.com/craftmeati/status/1446513319632850955")</f>
        <v>https://twitter.com/craftmeati/status/1446513319632850955</v>
      </c>
      <c r="AA397" s="80"/>
      <c r="AB397" s="80"/>
      <c r="AC397" s="83" t="s">
        <v>918</v>
      </c>
      <c r="AD397" s="80"/>
      <c r="AE397" s="80" t="b">
        <v>0</v>
      </c>
      <c r="AF397" s="80">
        <v>0</v>
      </c>
      <c r="AG397" s="83" t="s">
        <v>952</v>
      </c>
      <c r="AH397" s="80" t="b">
        <v>0</v>
      </c>
      <c r="AI397" s="80" t="s">
        <v>967</v>
      </c>
      <c r="AJ397" s="80"/>
      <c r="AK397" s="83" t="s">
        <v>952</v>
      </c>
      <c r="AL397" s="80" t="b">
        <v>0</v>
      </c>
      <c r="AM397" s="80">
        <v>1</v>
      </c>
      <c r="AN397" s="83" t="s">
        <v>917</v>
      </c>
      <c r="AO397" s="83" t="s">
        <v>979</v>
      </c>
      <c r="AP397" s="80" t="b">
        <v>0</v>
      </c>
      <c r="AQ397" s="83" t="s">
        <v>917</v>
      </c>
      <c r="AR397" s="80" t="s">
        <v>196</v>
      </c>
      <c r="AS397" s="80">
        <v>0</v>
      </c>
      <c r="AT397" s="80">
        <v>0</v>
      </c>
      <c r="AU397" s="80"/>
      <c r="AV397" s="80"/>
      <c r="AW397" s="80"/>
      <c r="AX397" s="80"/>
      <c r="AY397" s="80"/>
      <c r="AZ397" s="80"/>
      <c r="BA397" s="80"/>
      <c r="BB397" s="80"/>
      <c r="BC397">
        <v>1</v>
      </c>
      <c r="BD397" s="79" t="str">
        <f>REPLACE(INDEX(GroupVertices[Group],MATCH(Edges[[#This Row],[Vertex 1]],GroupVertices[Vertex],0)),1,1,"")</f>
        <v>3</v>
      </c>
      <c r="BE397" s="79" t="str">
        <f>REPLACE(INDEX(GroupVertices[Group],MATCH(Edges[[#This Row],[Vertex 2]],GroupVertices[Vertex],0)),1,1,"")</f>
        <v>3</v>
      </c>
      <c r="BF397" s="49"/>
      <c r="BG397" s="50"/>
      <c r="BH397" s="49"/>
      <c r="BI397" s="50"/>
      <c r="BJ397" s="49"/>
      <c r="BK397" s="50"/>
      <c r="BL397" s="49"/>
      <c r="BM397" s="50"/>
      <c r="BN397" s="49"/>
    </row>
    <row r="398" spans="1:66" ht="15">
      <c r="A398" s="65" t="s">
        <v>353</v>
      </c>
      <c r="B398" s="65" t="s">
        <v>353</v>
      </c>
      <c r="C398" s="66" t="s">
        <v>2815</v>
      </c>
      <c r="D398" s="67">
        <v>3</v>
      </c>
      <c r="E398" s="66" t="s">
        <v>132</v>
      </c>
      <c r="F398" s="69">
        <v>32</v>
      </c>
      <c r="G398" s="66"/>
      <c r="H398" s="70"/>
      <c r="I398" s="71"/>
      <c r="J398" s="71"/>
      <c r="K398" s="35" t="s">
        <v>65</v>
      </c>
      <c r="L398" s="72">
        <v>398</v>
      </c>
      <c r="M398" s="72"/>
      <c r="N398" s="73"/>
      <c r="O398" s="80" t="s">
        <v>196</v>
      </c>
      <c r="P398" s="82">
        <v>44481.16736111111</v>
      </c>
      <c r="Q398" s="80" t="s">
        <v>492</v>
      </c>
      <c r="R398" s="85" t="str">
        <f>HYPERLINK("https://www.greenqueen.com.hk/animal-alternative-technologies-renaissance-farm-cell-based-meat/?utm_content=bufferec53f&amp;utm_medium=social&amp;utm_source=twitter.com&amp;utm_campaign=buffer")</f>
        <v>https://www.greenqueen.com.hk/animal-alternative-technologies-renaissance-farm-cell-based-meat/?utm_content=bufferec53f&amp;utm_medium=social&amp;utm_source=twitter.com&amp;utm_campaign=buffer</v>
      </c>
      <c r="S398" s="80" t="s">
        <v>525</v>
      </c>
      <c r="T398" s="80"/>
      <c r="U398" s="80"/>
      <c r="V398" s="85" t="str">
        <f>HYPERLINK("https://pbs.twimg.com/profile_images/1179580239334100993/fxNXEe4I_normal.jpg")</f>
        <v>https://pbs.twimg.com/profile_images/1179580239334100993/fxNXEe4I_normal.jpg</v>
      </c>
      <c r="W398" s="82">
        <v>44481.16736111111</v>
      </c>
      <c r="X398" s="87">
        <v>44481</v>
      </c>
      <c r="Y398" s="83" t="s">
        <v>732</v>
      </c>
      <c r="Z398" s="85" t="str">
        <f>HYPERLINK("https://twitter.com/skryb/status/1447774275516211203")</f>
        <v>https://twitter.com/skryb/status/1447774275516211203</v>
      </c>
      <c r="AA398" s="80"/>
      <c r="AB398" s="80"/>
      <c r="AC398" s="83" t="s">
        <v>919</v>
      </c>
      <c r="AD398" s="80"/>
      <c r="AE398" s="80" t="b">
        <v>0</v>
      </c>
      <c r="AF398" s="80">
        <v>5</v>
      </c>
      <c r="AG398" s="83" t="s">
        <v>952</v>
      </c>
      <c r="AH398" s="80" t="b">
        <v>0</v>
      </c>
      <c r="AI398" s="80" t="s">
        <v>967</v>
      </c>
      <c r="AJ398" s="80"/>
      <c r="AK398" s="83" t="s">
        <v>952</v>
      </c>
      <c r="AL398" s="80" t="b">
        <v>0</v>
      </c>
      <c r="AM398" s="80">
        <v>2</v>
      </c>
      <c r="AN398" s="83" t="s">
        <v>952</v>
      </c>
      <c r="AO398" s="83" t="s">
        <v>972</v>
      </c>
      <c r="AP398" s="80" t="b">
        <v>0</v>
      </c>
      <c r="AQ398" s="83" t="s">
        <v>919</v>
      </c>
      <c r="AR398" s="80" t="s">
        <v>196</v>
      </c>
      <c r="AS398" s="80">
        <v>0</v>
      </c>
      <c r="AT398" s="80">
        <v>0</v>
      </c>
      <c r="AU398" s="80"/>
      <c r="AV398" s="80"/>
      <c r="AW398" s="80"/>
      <c r="AX398" s="80"/>
      <c r="AY398" s="80"/>
      <c r="AZ398" s="80"/>
      <c r="BA398" s="80"/>
      <c r="BB398" s="80"/>
      <c r="BC398">
        <v>1</v>
      </c>
      <c r="BD398" s="79" t="str">
        <f>REPLACE(INDEX(GroupVertices[Group],MATCH(Edges[[#This Row],[Vertex 1]],GroupVertices[Vertex],0)),1,1,"")</f>
        <v>3</v>
      </c>
      <c r="BE398" s="79" t="str">
        <f>REPLACE(INDEX(GroupVertices[Group],MATCH(Edges[[#This Row],[Vertex 2]],GroupVertices[Vertex],0)),1,1,"")</f>
        <v>3</v>
      </c>
      <c r="BF398" s="49">
        <v>2</v>
      </c>
      <c r="BG398" s="50">
        <v>5.405405405405405</v>
      </c>
      <c r="BH398" s="49">
        <v>0</v>
      </c>
      <c r="BI398" s="50">
        <v>0</v>
      </c>
      <c r="BJ398" s="49">
        <v>0</v>
      </c>
      <c r="BK398" s="50">
        <v>0</v>
      </c>
      <c r="BL398" s="49">
        <v>35</v>
      </c>
      <c r="BM398" s="50">
        <v>94.5945945945946</v>
      </c>
      <c r="BN398" s="49">
        <v>37</v>
      </c>
    </row>
    <row r="399" spans="1:66" ht="15">
      <c r="A399" s="65" t="s">
        <v>347</v>
      </c>
      <c r="B399" s="65" t="s">
        <v>353</v>
      </c>
      <c r="C399" s="66" t="s">
        <v>2815</v>
      </c>
      <c r="D399" s="67">
        <v>3</v>
      </c>
      <c r="E399" s="66" t="s">
        <v>132</v>
      </c>
      <c r="F399" s="69">
        <v>32</v>
      </c>
      <c r="G399" s="66"/>
      <c r="H399" s="70"/>
      <c r="I399" s="71"/>
      <c r="J399" s="71"/>
      <c r="K399" s="35" t="s">
        <v>65</v>
      </c>
      <c r="L399" s="72">
        <v>399</v>
      </c>
      <c r="M399" s="72"/>
      <c r="N399" s="73"/>
      <c r="O399" s="80" t="s">
        <v>408</v>
      </c>
      <c r="P399" s="82">
        <v>44481.47075231482</v>
      </c>
      <c r="Q399" s="80" t="s">
        <v>492</v>
      </c>
      <c r="R399" s="85" t="str">
        <f>HYPERLINK("https://www.greenqueen.com.hk/animal-alternative-technologies-renaissance-farm-cell-based-meat/?utm_content=bufferec53f&amp;utm_medium=social&amp;utm_source=twitter.com&amp;utm_campaign=buffer")</f>
        <v>https://www.greenqueen.com.hk/animal-alternative-technologies-renaissance-farm-cell-based-meat/?utm_content=bufferec53f&amp;utm_medium=social&amp;utm_source=twitter.com&amp;utm_campaign=buffer</v>
      </c>
      <c r="S399" s="80" t="s">
        <v>525</v>
      </c>
      <c r="T399" s="80"/>
      <c r="U399" s="80"/>
      <c r="V399" s="85" t="str">
        <f>HYPERLINK("https://pbs.twimg.com/profile_images/1207023594204741634/oNEPNuoG_normal.jpg")</f>
        <v>https://pbs.twimg.com/profile_images/1207023594204741634/oNEPNuoG_normal.jpg</v>
      </c>
      <c r="W399" s="82">
        <v>44481.47075231482</v>
      </c>
      <c r="X399" s="87">
        <v>44481</v>
      </c>
      <c r="Y399" s="83" t="s">
        <v>733</v>
      </c>
      <c r="Z399" s="85" t="str">
        <f>HYPERLINK("https://twitter.com/craftmeati/status/1447884220093894656")</f>
        <v>https://twitter.com/craftmeati/status/1447884220093894656</v>
      </c>
      <c r="AA399" s="80"/>
      <c r="AB399" s="80"/>
      <c r="AC399" s="83" t="s">
        <v>920</v>
      </c>
      <c r="AD399" s="80"/>
      <c r="AE399" s="80" t="b">
        <v>0</v>
      </c>
      <c r="AF399" s="80">
        <v>0</v>
      </c>
      <c r="AG399" s="83" t="s">
        <v>952</v>
      </c>
      <c r="AH399" s="80" t="b">
        <v>0</v>
      </c>
      <c r="AI399" s="80" t="s">
        <v>967</v>
      </c>
      <c r="AJ399" s="80"/>
      <c r="AK399" s="83" t="s">
        <v>952</v>
      </c>
      <c r="AL399" s="80" t="b">
        <v>0</v>
      </c>
      <c r="AM399" s="80">
        <v>2</v>
      </c>
      <c r="AN399" s="83" t="s">
        <v>919</v>
      </c>
      <c r="AO399" s="83" t="s">
        <v>979</v>
      </c>
      <c r="AP399" s="80" t="b">
        <v>0</v>
      </c>
      <c r="AQ399" s="83" t="s">
        <v>919</v>
      </c>
      <c r="AR399" s="80" t="s">
        <v>196</v>
      </c>
      <c r="AS399" s="80">
        <v>0</v>
      </c>
      <c r="AT399" s="80">
        <v>0</v>
      </c>
      <c r="AU399" s="80"/>
      <c r="AV399" s="80"/>
      <c r="AW399" s="80"/>
      <c r="AX399" s="80"/>
      <c r="AY399" s="80"/>
      <c r="AZ399" s="80"/>
      <c r="BA399" s="80"/>
      <c r="BB399" s="80"/>
      <c r="BC399">
        <v>1</v>
      </c>
      <c r="BD399" s="79" t="str">
        <f>REPLACE(INDEX(GroupVertices[Group],MATCH(Edges[[#This Row],[Vertex 1]],GroupVertices[Vertex],0)),1,1,"")</f>
        <v>3</v>
      </c>
      <c r="BE399" s="79" t="str">
        <f>REPLACE(INDEX(GroupVertices[Group],MATCH(Edges[[#This Row],[Vertex 2]],GroupVertices[Vertex],0)),1,1,"")</f>
        <v>3</v>
      </c>
      <c r="BF399" s="49">
        <v>2</v>
      </c>
      <c r="BG399" s="50">
        <v>5.405405405405405</v>
      </c>
      <c r="BH399" s="49">
        <v>0</v>
      </c>
      <c r="BI399" s="50">
        <v>0</v>
      </c>
      <c r="BJ399" s="49">
        <v>0</v>
      </c>
      <c r="BK399" s="50">
        <v>0</v>
      </c>
      <c r="BL399" s="49">
        <v>35</v>
      </c>
      <c r="BM399" s="50">
        <v>94.5945945945946</v>
      </c>
      <c r="BN399" s="49">
        <v>37</v>
      </c>
    </row>
    <row r="400" spans="1:66" ht="15">
      <c r="A400" s="65" t="s">
        <v>347</v>
      </c>
      <c r="B400" s="65" t="s">
        <v>364</v>
      </c>
      <c r="C400" s="66" t="s">
        <v>2815</v>
      </c>
      <c r="D400" s="67">
        <v>3</v>
      </c>
      <c r="E400" s="66" t="s">
        <v>132</v>
      </c>
      <c r="F400" s="69">
        <v>32</v>
      </c>
      <c r="G400" s="66"/>
      <c r="H400" s="70"/>
      <c r="I400" s="71"/>
      <c r="J400" s="71"/>
      <c r="K400" s="35" t="s">
        <v>65</v>
      </c>
      <c r="L400" s="72">
        <v>400</v>
      </c>
      <c r="M400" s="72"/>
      <c r="N400" s="73"/>
      <c r="O400" s="80" t="s">
        <v>408</v>
      </c>
      <c r="P400" s="82">
        <v>44476.84611111111</v>
      </c>
      <c r="Q400" s="80" t="s">
        <v>500</v>
      </c>
      <c r="R400" s="85" t="str">
        <f>HYPERLINK("https://techcrunch.com/2021/09/27/new-age-meats-bites-into-25m-for-cultured-meat-product-line-development/?utm_content=buffer97d50&amp;utm_medium=social&amp;utm_source=twitter.com&amp;utm_campaign=buffer")</f>
        <v>https://techcrunch.com/2021/09/27/new-age-meats-bites-into-25m-for-cultured-meat-product-line-development/?utm_content=buffer97d50&amp;utm_medium=social&amp;utm_source=twitter.com&amp;utm_campaign=buffer</v>
      </c>
      <c r="S400" s="80" t="s">
        <v>544</v>
      </c>
      <c r="T400" s="83" t="s">
        <v>564</v>
      </c>
      <c r="U400" s="80"/>
      <c r="V400" s="85" t="str">
        <f>HYPERLINK("https://pbs.twimg.com/profile_images/1207023594204741634/oNEPNuoG_normal.jpg")</f>
        <v>https://pbs.twimg.com/profile_images/1207023594204741634/oNEPNuoG_normal.jpg</v>
      </c>
      <c r="W400" s="82">
        <v>44476.84611111111</v>
      </c>
      <c r="X400" s="87">
        <v>44476</v>
      </c>
      <c r="Y400" s="83" t="s">
        <v>734</v>
      </c>
      <c r="Z400" s="85" t="str">
        <f>HYPERLINK("https://twitter.com/craftmeati/status/1446208307589484555")</f>
        <v>https://twitter.com/craftmeati/status/1446208307589484555</v>
      </c>
      <c r="AA400" s="80"/>
      <c r="AB400" s="80"/>
      <c r="AC400" s="83" t="s">
        <v>921</v>
      </c>
      <c r="AD400" s="80"/>
      <c r="AE400" s="80" t="b">
        <v>0</v>
      </c>
      <c r="AF400" s="80">
        <v>0</v>
      </c>
      <c r="AG400" s="83" t="s">
        <v>952</v>
      </c>
      <c r="AH400" s="80" t="b">
        <v>0</v>
      </c>
      <c r="AI400" s="80" t="s">
        <v>967</v>
      </c>
      <c r="AJ400" s="80"/>
      <c r="AK400" s="83" t="s">
        <v>952</v>
      </c>
      <c r="AL400" s="80" t="b">
        <v>0</v>
      </c>
      <c r="AM400" s="80">
        <v>1</v>
      </c>
      <c r="AN400" s="83" t="s">
        <v>934</v>
      </c>
      <c r="AO400" s="83" t="s">
        <v>972</v>
      </c>
      <c r="AP400" s="80" t="b">
        <v>0</v>
      </c>
      <c r="AQ400" s="83" t="s">
        <v>934</v>
      </c>
      <c r="AR400" s="80" t="s">
        <v>196</v>
      </c>
      <c r="AS400" s="80">
        <v>0</v>
      </c>
      <c r="AT400" s="80">
        <v>0</v>
      </c>
      <c r="AU400" s="80"/>
      <c r="AV400" s="80"/>
      <c r="AW400" s="80"/>
      <c r="AX400" s="80"/>
      <c r="AY400" s="80"/>
      <c r="AZ400" s="80"/>
      <c r="BA400" s="80"/>
      <c r="BB400" s="80"/>
      <c r="BC400">
        <v>1</v>
      </c>
      <c r="BD400" s="79" t="str">
        <f>REPLACE(INDEX(GroupVertices[Group],MATCH(Edges[[#This Row],[Vertex 1]],GroupVertices[Vertex],0)),1,1,"")</f>
        <v>3</v>
      </c>
      <c r="BE400" s="79" t="str">
        <f>REPLACE(INDEX(GroupVertices[Group],MATCH(Edges[[#This Row],[Vertex 2]],GroupVertices[Vertex],0)),1,1,"")</f>
        <v>10</v>
      </c>
      <c r="BF400" s="49">
        <v>0</v>
      </c>
      <c r="BG400" s="50">
        <v>0</v>
      </c>
      <c r="BH400" s="49">
        <v>0</v>
      </c>
      <c r="BI400" s="50">
        <v>0</v>
      </c>
      <c r="BJ400" s="49">
        <v>0</v>
      </c>
      <c r="BK400" s="50">
        <v>0</v>
      </c>
      <c r="BL400" s="49">
        <v>29</v>
      </c>
      <c r="BM400" s="50">
        <v>100</v>
      </c>
      <c r="BN400" s="49">
        <v>29</v>
      </c>
    </row>
    <row r="401" spans="1:66" ht="15">
      <c r="A401" s="65" t="s">
        <v>354</v>
      </c>
      <c r="B401" s="65" t="s">
        <v>354</v>
      </c>
      <c r="C401" s="66" t="s">
        <v>2815</v>
      </c>
      <c r="D401" s="67">
        <v>3</v>
      </c>
      <c r="E401" s="66" t="s">
        <v>132</v>
      </c>
      <c r="F401" s="69">
        <v>32</v>
      </c>
      <c r="G401" s="66"/>
      <c r="H401" s="70"/>
      <c r="I401" s="71"/>
      <c r="J401" s="71"/>
      <c r="K401" s="35" t="s">
        <v>65</v>
      </c>
      <c r="L401" s="72">
        <v>401</v>
      </c>
      <c r="M401" s="72"/>
      <c r="N401" s="73"/>
      <c r="O401" s="80" t="s">
        <v>196</v>
      </c>
      <c r="P401" s="82">
        <v>44481.490335648145</v>
      </c>
      <c r="Q401" s="80" t="s">
        <v>501</v>
      </c>
      <c r="R401" s="85" t="str">
        <f>HYPERLINK("https://financialpost.com/commodities/agriculture/126-hamburger-a-bit-steep-vancouver-venture-capitalist-joins-race-to-bring-lab-meats-to-your-table/wcm/605223e1-8ec3-4479-9950-8da527e4da0e/amp/")</f>
        <v>https://financialpost.com/commodities/agriculture/126-hamburger-a-bit-steep-vancouver-venture-capitalist-joins-race-to-bring-lab-meats-to-your-table/wcm/605223e1-8ec3-4479-9950-8da527e4da0e/amp/</v>
      </c>
      <c r="S401" s="80" t="s">
        <v>545</v>
      </c>
      <c r="T401" s="80"/>
      <c r="U401" s="80"/>
      <c r="V401" s="85" t="str">
        <f>HYPERLINK("https://pbs.twimg.com/profile_images/1447420542437531648/PmDVadZY_normal.jpg")</f>
        <v>https://pbs.twimg.com/profile_images/1447420542437531648/PmDVadZY_normal.jpg</v>
      </c>
      <c r="W401" s="82">
        <v>44481.490335648145</v>
      </c>
      <c r="X401" s="87">
        <v>44481</v>
      </c>
      <c r="Y401" s="83" t="s">
        <v>735</v>
      </c>
      <c r="Z401" s="85" t="str">
        <f>HYPERLINK("https://twitter.com/ryanbethencourt/status/1447891316399030276")</f>
        <v>https://twitter.com/ryanbethencourt/status/1447891316399030276</v>
      </c>
      <c r="AA401" s="80"/>
      <c r="AB401" s="80"/>
      <c r="AC401" s="83" t="s">
        <v>922</v>
      </c>
      <c r="AD401" s="80"/>
      <c r="AE401" s="80" t="b">
        <v>0</v>
      </c>
      <c r="AF401" s="80">
        <v>1</v>
      </c>
      <c r="AG401" s="83" t="s">
        <v>952</v>
      </c>
      <c r="AH401" s="80" t="b">
        <v>0</v>
      </c>
      <c r="AI401" s="80" t="s">
        <v>967</v>
      </c>
      <c r="AJ401" s="80"/>
      <c r="AK401" s="83" t="s">
        <v>952</v>
      </c>
      <c r="AL401" s="80" t="b">
        <v>0</v>
      </c>
      <c r="AM401" s="80">
        <v>0</v>
      </c>
      <c r="AN401" s="83" t="s">
        <v>952</v>
      </c>
      <c r="AO401" s="83" t="s">
        <v>976</v>
      </c>
      <c r="AP401" s="80" t="b">
        <v>0</v>
      </c>
      <c r="AQ401" s="83" t="s">
        <v>922</v>
      </c>
      <c r="AR401" s="80" t="s">
        <v>196</v>
      </c>
      <c r="AS401" s="80">
        <v>0</v>
      </c>
      <c r="AT401" s="80">
        <v>0</v>
      </c>
      <c r="AU401" s="80"/>
      <c r="AV401" s="80"/>
      <c r="AW401" s="80"/>
      <c r="AX401" s="80"/>
      <c r="AY401" s="80"/>
      <c r="AZ401" s="80"/>
      <c r="BA401" s="80"/>
      <c r="BB401" s="80"/>
      <c r="BC401">
        <v>1</v>
      </c>
      <c r="BD401" s="79" t="str">
        <f>REPLACE(INDEX(GroupVertices[Group],MATCH(Edges[[#This Row],[Vertex 1]],GroupVertices[Vertex],0)),1,1,"")</f>
        <v>2</v>
      </c>
      <c r="BE401" s="79" t="str">
        <f>REPLACE(INDEX(GroupVertices[Group],MATCH(Edges[[#This Row],[Vertex 2]],GroupVertices[Vertex],0)),1,1,"")</f>
        <v>2</v>
      </c>
      <c r="BF401" s="49">
        <v>0</v>
      </c>
      <c r="BG401" s="50">
        <v>0</v>
      </c>
      <c r="BH401" s="49">
        <v>0</v>
      </c>
      <c r="BI401" s="50">
        <v>0</v>
      </c>
      <c r="BJ401" s="49">
        <v>0</v>
      </c>
      <c r="BK401" s="50">
        <v>0</v>
      </c>
      <c r="BL401" s="49">
        <v>7</v>
      </c>
      <c r="BM401" s="50">
        <v>100</v>
      </c>
      <c r="BN401" s="49">
        <v>7</v>
      </c>
    </row>
    <row r="402" spans="1:66" ht="15">
      <c r="A402" s="65" t="s">
        <v>355</v>
      </c>
      <c r="B402" s="65" t="s">
        <v>365</v>
      </c>
      <c r="C402" s="66" t="s">
        <v>2815</v>
      </c>
      <c r="D402" s="67">
        <v>3</v>
      </c>
      <c r="E402" s="66" t="s">
        <v>132</v>
      </c>
      <c r="F402" s="69">
        <v>32</v>
      </c>
      <c r="G402" s="66"/>
      <c r="H402" s="70"/>
      <c r="I402" s="71"/>
      <c r="J402" s="71"/>
      <c r="K402" s="35" t="s">
        <v>65</v>
      </c>
      <c r="L402" s="72">
        <v>402</v>
      </c>
      <c r="M402" s="72"/>
      <c r="N402" s="73"/>
      <c r="O402" s="80" t="s">
        <v>407</v>
      </c>
      <c r="P402" s="82">
        <v>44481.60556712963</v>
      </c>
      <c r="Q402" s="80" t="s">
        <v>502</v>
      </c>
      <c r="R402"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02" s="80" t="s">
        <v>546</v>
      </c>
      <c r="T402" s="83" t="s">
        <v>565</v>
      </c>
      <c r="U402" s="80"/>
      <c r="V402" s="85" t="str">
        <f>HYPERLINK("https://pbs.twimg.com/profile_images/1432380149824212994/ozjnG5o3_normal.jpg")</f>
        <v>https://pbs.twimg.com/profile_images/1432380149824212994/ozjnG5o3_normal.jpg</v>
      </c>
      <c r="W402" s="82">
        <v>44481.60556712963</v>
      </c>
      <c r="X402" s="87">
        <v>44481</v>
      </c>
      <c r="Y402" s="83" t="s">
        <v>736</v>
      </c>
      <c r="Z402" s="85" t="str">
        <f>HYPERLINK("https://twitter.com/stevecjjones/status/1447933077775323137")</f>
        <v>https://twitter.com/stevecjjones/status/1447933077775323137</v>
      </c>
      <c r="AA402" s="80"/>
      <c r="AB402" s="80"/>
      <c r="AC402" s="83" t="s">
        <v>923</v>
      </c>
      <c r="AD402" s="80"/>
      <c r="AE402" s="80" t="b">
        <v>0</v>
      </c>
      <c r="AF402" s="80">
        <v>0</v>
      </c>
      <c r="AG402" s="83" t="s">
        <v>952</v>
      </c>
      <c r="AH402" s="80" t="b">
        <v>0</v>
      </c>
      <c r="AI402" s="80" t="s">
        <v>967</v>
      </c>
      <c r="AJ402" s="80"/>
      <c r="AK402" s="83" t="s">
        <v>952</v>
      </c>
      <c r="AL402" s="80" t="b">
        <v>0</v>
      </c>
      <c r="AM402" s="80">
        <v>4</v>
      </c>
      <c r="AN402" s="83" t="s">
        <v>935</v>
      </c>
      <c r="AO402" s="83" t="s">
        <v>972</v>
      </c>
      <c r="AP402" s="80" t="b">
        <v>0</v>
      </c>
      <c r="AQ402" s="83" t="s">
        <v>935</v>
      </c>
      <c r="AR402" s="80" t="s">
        <v>196</v>
      </c>
      <c r="AS402" s="80">
        <v>0</v>
      </c>
      <c r="AT402" s="80">
        <v>0</v>
      </c>
      <c r="AU402" s="80"/>
      <c r="AV402" s="80"/>
      <c r="AW402" s="80"/>
      <c r="AX402" s="80"/>
      <c r="AY402" s="80"/>
      <c r="AZ402" s="80"/>
      <c r="BA402" s="80"/>
      <c r="BB402" s="80"/>
      <c r="BC402">
        <v>1</v>
      </c>
      <c r="BD402" s="79" t="str">
        <f>REPLACE(INDEX(GroupVertices[Group],MATCH(Edges[[#This Row],[Vertex 1]],GroupVertices[Vertex],0)),1,1,"")</f>
        <v>10</v>
      </c>
      <c r="BE402" s="79" t="str">
        <f>REPLACE(INDEX(GroupVertices[Group],MATCH(Edges[[#This Row],[Vertex 2]],GroupVertices[Vertex],0)),1,1,"")</f>
        <v>10</v>
      </c>
      <c r="BF402" s="49">
        <v>1</v>
      </c>
      <c r="BG402" s="50">
        <v>2.6315789473684212</v>
      </c>
      <c r="BH402" s="49">
        <v>0</v>
      </c>
      <c r="BI402" s="50">
        <v>0</v>
      </c>
      <c r="BJ402" s="49">
        <v>0</v>
      </c>
      <c r="BK402" s="50">
        <v>0</v>
      </c>
      <c r="BL402" s="49">
        <v>37</v>
      </c>
      <c r="BM402" s="50">
        <v>97.36842105263158</v>
      </c>
      <c r="BN402" s="49">
        <v>38</v>
      </c>
    </row>
    <row r="403" spans="1:66" ht="15">
      <c r="A403" s="65" t="s">
        <v>355</v>
      </c>
      <c r="B403" s="65" t="s">
        <v>364</v>
      </c>
      <c r="C403" s="66" t="s">
        <v>2815</v>
      </c>
      <c r="D403" s="67">
        <v>3</v>
      </c>
      <c r="E403" s="66" t="s">
        <v>132</v>
      </c>
      <c r="F403" s="69">
        <v>32</v>
      </c>
      <c r="G403" s="66"/>
      <c r="H403" s="70"/>
      <c r="I403" s="71"/>
      <c r="J403" s="71"/>
      <c r="K403" s="35" t="s">
        <v>65</v>
      </c>
      <c r="L403" s="72">
        <v>403</v>
      </c>
      <c r="M403" s="72"/>
      <c r="N403" s="73"/>
      <c r="O403" s="80" t="s">
        <v>408</v>
      </c>
      <c r="P403" s="82">
        <v>44481.60556712963</v>
      </c>
      <c r="Q403" s="80" t="s">
        <v>502</v>
      </c>
      <c r="R403"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03" s="80" t="s">
        <v>546</v>
      </c>
      <c r="T403" s="83" t="s">
        <v>565</v>
      </c>
      <c r="U403" s="80"/>
      <c r="V403" s="85" t="str">
        <f>HYPERLINK("https://pbs.twimg.com/profile_images/1432380149824212994/ozjnG5o3_normal.jpg")</f>
        <v>https://pbs.twimg.com/profile_images/1432380149824212994/ozjnG5o3_normal.jpg</v>
      </c>
      <c r="W403" s="82">
        <v>44481.60556712963</v>
      </c>
      <c r="X403" s="87">
        <v>44481</v>
      </c>
      <c r="Y403" s="83" t="s">
        <v>736</v>
      </c>
      <c r="Z403" s="85" t="str">
        <f>HYPERLINK("https://twitter.com/stevecjjones/status/1447933077775323137")</f>
        <v>https://twitter.com/stevecjjones/status/1447933077775323137</v>
      </c>
      <c r="AA403" s="80"/>
      <c r="AB403" s="80"/>
      <c r="AC403" s="83" t="s">
        <v>923</v>
      </c>
      <c r="AD403" s="80"/>
      <c r="AE403" s="80" t="b">
        <v>0</v>
      </c>
      <c r="AF403" s="80">
        <v>0</v>
      </c>
      <c r="AG403" s="83" t="s">
        <v>952</v>
      </c>
      <c r="AH403" s="80" t="b">
        <v>0</v>
      </c>
      <c r="AI403" s="80" t="s">
        <v>967</v>
      </c>
      <c r="AJ403" s="80"/>
      <c r="AK403" s="83" t="s">
        <v>952</v>
      </c>
      <c r="AL403" s="80" t="b">
        <v>0</v>
      </c>
      <c r="AM403" s="80">
        <v>4</v>
      </c>
      <c r="AN403" s="83" t="s">
        <v>935</v>
      </c>
      <c r="AO403" s="83" t="s">
        <v>972</v>
      </c>
      <c r="AP403" s="80" t="b">
        <v>0</v>
      </c>
      <c r="AQ403" s="83" t="s">
        <v>935</v>
      </c>
      <c r="AR403" s="80" t="s">
        <v>196</v>
      </c>
      <c r="AS403" s="80">
        <v>0</v>
      </c>
      <c r="AT403" s="80">
        <v>0</v>
      </c>
      <c r="AU403" s="80"/>
      <c r="AV403" s="80"/>
      <c r="AW403" s="80"/>
      <c r="AX403" s="80"/>
      <c r="AY403" s="80"/>
      <c r="AZ403" s="80"/>
      <c r="BA403" s="80"/>
      <c r="BB403" s="80"/>
      <c r="BC403">
        <v>1</v>
      </c>
      <c r="BD403" s="79" t="str">
        <f>REPLACE(INDEX(GroupVertices[Group],MATCH(Edges[[#This Row],[Vertex 1]],GroupVertices[Vertex],0)),1,1,"")</f>
        <v>10</v>
      </c>
      <c r="BE403" s="79" t="str">
        <f>REPLACE(INDEX(GroupVertices[Group],MATCH(Edges[[#This Row],[Vertex 2]],GroupVertices[Vertex],0)),1,1,"")</f>
        <v>10</v>
      </c>
      <c r="BF403" s="49"/>
      <c r="BG403" s="50"/>
      <c r="BH403" s="49"/>
      <c r="BI403" s="50"/>
      <c r="BJ403" s="49"/>
      <c r="BK403" s="50"/>
      <c r="BL403" s="49"/>
      <c r="BM403" s="50"/>
      <c r="BN403" s="49"/>
    </row>
    <row r="404" spans="1:66" ht="15">
      <c r="A404" s="65" t="s">
        <v>356</v>
      </c>
      <c r="B404" s="65" t="s">
        <v>365</v>
      </c>
      <c r="C404" s="66" t="s">
        <v>2815</v>
      </c>
      <c r="D404" s="67">
        <v>3</v>
      </c>
      <c r="E404" s="66" t="s">
        <v>132</v>
      </c>
      <c r="F404" s="69">
        <v>32</v>
      </c>
      <c r="G404" s="66"/>
      <c r="H404" s="70"/>
      <c r="I404" s="71"/>
      <c r="J404" s="71"/>
      <c r="K404" s="35" t="s">
        <v>65</v>
      </c>
      <c r="L404" s="72">
        <v>404</v>
      </c>
      <c r="M404" s="72"/>
      <c r="N404" s="73"/>
      <c r="O404" s="80" t="s">
        <v>407</v>
      </c>
      <c r="P404" s="82">
        <v>44481.60821759259</v>
      </c>
      <c r="Q404" s="80" t="s">
        <v>502</v>
      </c>
      <c r="R404"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04" s="80" t="s">
        <v>546</v>
      </c>
      <c r="T404" s="83" t="s">
        <v>565</v>
      </c>
      <c r="U404" s="80"/>
      <c r="V404" s="85" t="str">
        <f>HYPERLINK("https://pbs.twimg.com/profile_images/1292852962075660289/2eauCFBV_normal.jpg")</f>
        <v>https://pbs.twimg.com/profile_images/1292852962075660289/2eauCFBV_normal.jpg</v>
      </c>
      <c r="W404" s="82">
        <v>44481.60821759259</v>
      </c>
      <c r="X404" s="87">
        <v>44481</v>
      </c>
      <c r="Y404" s="83" t="s">
        <v>737</v>
      </c>
      <c r="Z404" s="85" t="str">
        <f>HYPERLINK("https://twitter.com/midoriecosystem/status/1447934038086406144")</f>
        <v>https://twitter.com/midoriecosystem/status/1447934038086406144</v>
      </c>
      <c r="AA404" s="80"/>
      <c r="AB404" s="80"/>
      <c r="AC404" s="83" t="s">
        <v>924</v>
      </c>
      <c r="AD404" s="80"/>
      <c r="AE404" s="80" t="b">
        <v>0</v>
      </c>
      <c r="AF404" s="80">
        <v>0</v>
      </c>
      <c r="AG404" s="83" t="s">
        <v>952</v>
      </c>
      <c r="AH404" s="80" t="b">
        <v>0</v>
      </c>
      <c r="AI404" s="80" t="s">
        <v>967</v>
      </c>
      <c r="AJ404" s="80"/>
      <c r="AK404" s="83" t="s">
        <v>952</v>
      </c>
      <c r="AL404" s="80" t="b">
        <v>0</v>
      </c>
      <c r="AM404" s="80">
        <v>4</v>
      </c>
      <c r="AN404" s="83" t="s">
        <v>935</v>
      </c>
      <c r="AO404" s="83" t="s">
        <v>993</v>
      </c>
      <c r="AP404" s="80" t="b">
        <v>0</v>
      </c>
      <c r="AQ404" s="83" t="s">
        <v>935</v>
      </c>
      <c r="AR404" s="80" t="s">
        <v>196</v>
      </c>
      <c r="AS404" s="80">
        <v>0</v>
      </c>
      <c r="AT404" s="80">
        <v>0</v>
      </c>
      <c r="AU404" s="80"/>
      <c r="AV404" s="80"/>
      <c r="AW404" s="80"/>
      <c r="AX404" s="80"/>
      <c r="AY404" s="80"/>
      <c r="AZ404" s="80"/>
      <c r="BA404" s="80"/>
      <c r="BB404" s="80"/>
      <c r="BC404">
        <v>1</v>
      </c>
      <c r="BD404" s="79" t="str">
        <f>REPLACE(INDEX(GroupVertices[Group],MATCH(Edges[[#This Row],[Vertex 1]],GroupVertices[Vertex],0)),1,1,"")</f>
        <v>10</v>
      </c>
      <c r="BE404" s="79" t="str">
        <f>REPLACE(INDEX(GroupVertices[Group],MATCH(Edges[[#This Row],[Vertex 2]],GroupVertices[Vertex],0)),1,1,"")</f>
        <v>10</v>
      </c>
      <c r="BF404" s="49"/>
      <c r="BG404" s="50"/>
      <c r="BH404" s="49"/>
      <c r="BI404" s="50"/>
      <c r="BJ404" s="49"/>
      <c r="BK404" s="50"/>
      <c r="BL404" s="49"/>
      <c r="BM404" s="50"/>
      <c r="BN404" s="49"/>
    </row>
    <row r="405" spans="1:66" ht="15">
      <c r="A405" s="65" t="s">
        <v>356</v>
      </c>
      <c r="B405" s="65" t="s">
        <v>364</v>
      </c>
      <c r="C405" s="66" t="s">
        <v>2815</v>
      </c>
      <c r="D405" s="67">
        <v>3</v>
      </c>
      <c r="E405" s="66" t="s">
        <v>132</v>
      </c>
      <c r="F405" s="69">
        <v>32</v>
      </c>
      <c r="G405" s="66"/>
      <c r="H405" s="70"/>
      <c r="I405" s="71"/>
      <c r="J405" s="71"/>
      <c r="K405" s="35" t="s">
        <v>65</v>
      </c>
      <c r="L405" s="72">
        <v>405</v>
      </c>
      <c r="M405" s="72"/>
      <c r="N405" s="73"/>
      <c r="O405" s="80" t="s">
        <v>408</v>
      </c>
      <c r="P405" s="82">
        <v>44481.60821759259</v>
      </c>
      <c r="Q405" s="80" t="s">
        <v>502</v>
      </c>
      <c r="R405"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05" s="80" t="s">
        <v>546</v>
      </c>
      <c r="T405" s="83" t="s">
        <v>565</v>
      </c>
      <c r="U405" s="80"/>
      <c r="V405" s="85" t="str">
        <f>HYPERLINK("https://pbs.twimg.com/profile_images/1292852962075660289/2eauCFBV_normal.jpg")</f>
        <v>https://pbs.twimg.com/profile_images/1292852962075660289/2eauCFBV_normal.jpg</v>
      </c>
      <c r="W405" s="82">
        <v>44481.60821759259</v>
      </c>
      <c r="X405" s="87">
        <v>44481</v>
      </c>
      <c r="Y405" s="83" t="s">
        <v>737</v>
      </c>
      <c r="Z405" s="85" t="str">
        <f>HYPERLINK("https://twitter.com/midoriecosystem/status/1447934038086406144")</f>
        <v>https://twitter.com/midoriecosystem/status/1447934038086406144</v>
      </c>
      <c r="AA405" s="80"/>
      <c r="AB405" s="80"/>
      <c r="AC405" s="83" t="s">
        <v>924</v>
      </c>
      <c r="AD405" s="80"/>
      <c r="AE405" s="80" t="b">
        <v>0</v>
      </c>
      <c r="AF405" s="80">
        <v>0</v>
      </c>
      <c r="AG405" s="83" t="s">
        <v>952</v>
      </c>
      <c r="AH405" s="80" t="b">
        <v>0</v>
      </c>
      <c r="AI405" s="80" t="s">
        <v>967</v>
      </c>
      <c r="AJ405" s="80"/>
      <c r="AK405" s="83" t="s">
        <v>952</v>
      </c>
      <c r="AL405" s="80" t="b">
        <v>0</v>
      </c>
      <c r="AM405" s="80">
        <v>4</v>
      </c>
      <c r="AN405" s="83" t="s">
        <v>935</v>
      </c>
      <c r="AO405" s="83" t="s">
        <v>993</v>
      </c>
      <c r="AP405" s="80" t="b">
        <v>0</v>
      </c>
      <c r="AQ405" s="83" t="s">
        <v>935</v>
      </c>
      <c r="AR405" s="80" t="s">
        <v>196</v>
      </c>
      <c r="AS405" s="80">
        <v>0</v>
      </c>
      <c r="AT405" s="80">
        <v>0</v>
      </c>
      <c r="AU405" s="80"/>
      <c r="AV405" s="80"/>
      <c r="AW405" s="80"/>
      <c r="AX405" s="80"/>
      <c r="AY405" s="80"/>
      <c r="AZ405" s="80"/>
      <c r="BA405" s="80"/>
      <c r="BB405" s="80"/>
      <c r="BC405">
        <v>1</v>
      </c>
      <c r="BD405" s="79" t="str">
        <f>REPLACE(INDEX(GroupVertices[Group],MATCH(Edges[[#This Row],[Vertex 1]],GroupVertices[Vertex],0)),1,1,"")</f>
        <v>10</v>
      </c>
      <c r="BE405" s="79" t="str">
        <f>REPLACE(INDEX(GroupVertices[Group],MATCH(Edges[[#This Row],[Vertex 2]],GroupVertices[Vertex],0)),1,1,"")</f>
        <v>10</v>
      </c>
      <c r="BF405" s="49">
        <v>1</v>
      </c>
      <c r="BG405" s="50">
        <v>2.6315789473684212</v>
      </c>
      <c r="BH405" s="49">
        <v>0</v>
      </c>
      <c r="BI405" s="50">
        <v>0</v>
      </c>
      <c r="BJ405" s="49">
        <v>0</v>
      </c>
      <c r="BK405" s="50">
        <v>0</v>
      </c>
      <c r="BL405" s="49">
        <v>37</v>
      </c>
      <c r="BM405" s="50">
        <v>97.36842105263158</v>
      </c>
      <c r="BN405" s="49">
        <v>38</v>
      </c>
    </row>
    <row r="406" spans="1:66" ht="15">
      <c r="A406" s="65" t="s">
        <v>357</v>
      </c>
      <c r="B406" s="65" t="s">
        <v>365</v>
      </c>
      <c r="C406" s="66" t="s">
        <v>2815</v>
      </c>
      <c r="D406" s="67">
        <v>3</v>
      </c>
      <c r="E406" s="66" t="s">
        <v>132</v>
      </c>
      <c r="F406" s="69">
        <v>32</v>
      </c>
      <c r="G406" s="66"/>
      <c r="H406" s="70"/>
      <c r="I406" s="71"/>
      <c r="J406" s="71"/>
      <c r="K406" s="35" t="s">
        <v>65</v>
      </c>
      <c r="L406" s="72">
        <v>406</v>
      </c>
      <c r="M406" s="72"/>
      <c r="N406" s="73"/>
      <c r="O406" s="80" t="s">
        <v>407</v>
      </c>
      <c r="P406" s="82">
        <v>44481.61263888889</v>
      </c>
      <c r="Q406" s="80" t="s">
        <v>502</v>
      </c>
      <c r="R406"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06" s="80" t="s">
        <v>546</v>
      </c>
      <c r="T406" s="83" t="s">
        <v>565</v>
      </c>
      <c r="U406" s="80"/>
      <c r="V406" s="85" t="str">
        <f>HYPERLINK("https://pbs.twimg.com/profile_images/1107382866168725504/bPI0qCwA_normal.jpg")</f>
        <v>https://pbs.twimg.com/profile_images/1107382866168725504/bPI0qCwA_normal.jpg</v>
      </c>
      <c r="W406" s="82">
        <v>44481.61263888889</v>
      </c>
      <c r="X406" s="87">
        <v>44481</v>
      </c>
      <c r="Y406" s="83" t="s">
        <v>738</v>
      </c>
      <c r="Z406" s="85" t="str">
        <f>HYPERLINK("https://twitter.com/rexjeanna/status/1447935638871986182")</f>
        <v>https://twitter.com/rexjeanna/status/1447935638871986182</v>
      </c>
      <c r="AA406" s="80"/>
      <c r="AB406" s="80"/>
      <c r="AC406" s="83" t="s">
        <v>925</v>
      </c>
      <c r="AD406" s="80"/>
      <c r="AE406" s="80" t="b">
        <v>0</v>
      </c>
      <c r="AF406" s="80">
        <v>0</v>
      </c>
      <c r="AG406" s="83" t="s">
        <v>952</v>
      </c>
      <c r="AH406" s="80" t="b">
        <v>0</v>
      </c>
      <c r="AI406" s="80" t="s">
        <v>967</v>
      </c>
      <c r="AJ406" s="80"/>
      <c r="AK406" s="83" t="s">
        <v>952</v>
      </c>
      <c r="AL406" s="80" t="b">
        <v>0</v>
      </c>
      <c r="AM406" s="80">
        <v>4</v>
      </c>
      <c r="AN406" s="83" t="s">
        <v>935</v>
      </c>
      <c r="AO406" s="83" t="s">
        <v>972</v>
      </c>
      <c r="AP406" s="80" t="b">
        <v>0</v>
      </c>
      <c r="AQ406" s="83" t="s">
        <v>935</v>
      </c>
      <c r="AR406" s="80" t="s">
        <v>196</v>
      </c>
      <c r="AS406" s="80">
        <v>0</v>
      </c>
      <c r="AT406" s="80">
        <v>0</v>
      </c>
      <c r="AU406" s="80"/>
      <c r="AV406" s="80"/>
      <c r="AW406" s="80"/>
      <c r="AX406" s="80"/>
      <c r="AY406" s="80"/>
      <c r="AZ406" s="80"/>
      <c r="BA406" s="80"/>
      <c r="BB406" s="80"/>
      <c r="BC406">
        <v>1</v>
      </c>
      <c r="BD406" s="79" t="str">
        <f>REPLACE(INDEX(GroupVertices[Group],MATCH(Edges[[#This Row],[Vertex 1]],GroupVertices[Vertex],0)),1,1,"")</f>
        <v>10</v>
      </c>
      <c r="BE406" s="79" t="str">
        <f>REPLACE(INDEX(GroupVertices[Group],MATCH(Edges[[#This Row],[Vertex 2]],GroupVertices[Vertex],0)),1,1,"")</f>
        <v>10</v>
      </c>
      <c r="BF406" s="49"/>
      <c r="BG406" s="50"/>
      <c r="BH406" s="49"/>
      <c r="BI406" s="50"/>
      <c r="BJ406" s="49"/>
      <c r="BK406" s="50"/>
      <c r="BL406" s="49"/>
      <c r="BM406" s="50"/>
      <c r="BN406" s="49"/>
    </row>
    <row r="407" spans="1:66" ht="15">
      <c r="A407" s="65" t="s">
        <v>357</v>
      </c>
      <c r="B407" s="65" t="s">
        <v>364</v>
      </c>
      <c r="C407" s="66" t="s">
        <v>2815</v>
      </c>
      <c r="D407" s="67">
        <v>3</v>
      </c>
      <c r="E407" s="66" t="s">
        <v>132</v>
      </c>
      <c r="F407" s="69">
        <v>32</v>
      </c>
      <c r="G407" s="66"/>
      <c r="H407" s="70"/>
      <c r="I407" s="71"/>
      <c r="J407" s="71"/>
      <c r="K407" s="35" t="s">
        <v>65</v>
      </c>
      <c r="L407" s="72">
        <v>407</v>
      </c>
      <c r="M407" s="72"/>
      <c r="N407" s="73"/>
      <c r="O407" s="80" t="s">
        <v>408</v>
      </c>
      <c r="P407" s="82">
        <v>44481.61263888889</v>
      </c>
      <c r="Q407" s="80" t="s">
        <v>502</v>
      </c>
      <c r="R407"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07" s="80" t="s">
        <v>546</v>
      </c>
      <c r="T407" s="83" t="s">
        <v>565</v>
      </c>
      <c r="U407" s="80"/>
      <c r="V407" s="85" t="str">
        <f>HYPERLINK("https://pbs.twimg.com/profile_images/1107382866168725504/bPI0qCwA_normal.jpg")</f>
        <v>https://pbs.twimg.com/profile_images/1107382866168725504/bPI0qCwA_normal.jpg</v>
      </c>
      <c r="W407" s="82">
        <v>44481.61263888889</v>
      </c>
      <c r="X407" s="87">
        <v>44481</v>
      </c>
      <c r="Y407" s="83" t="s">
        <v>738</v>
      </c>
      <c r="Z407" s="85" t="str">
        <f>HYPERLINK("https://twitter.com/rexjeanna/status/1447935638871986182")</f>
        <v>https://twitter.com/rexjeanna/status/1447935638871986182</v>
      </c>
      <c r="AA407" s="80"/>
      <c r="AB407" s="80"/>
      <c r="AC407" s="83" t="s">
        <v>925</v>
      </c>
      <c r="AD407" s="80"/>
      <c r="AE407" s="80" t="b">
        <v>0</v>
      </c>
      <c r="AF407" s="80">
        <v>0</v>
      </c>
      <c r="AG407" s="83" t="s">
        <v>952</v>
      </c>
      <c r="AH407" s="80" t="b">
        <v>0</v>
      </c>
      <c r="AI407" s="80" t="s">
        <v>967</v>
      </c>
      <c r="AJ407" s="80"/>
      <c r="AK407" s="83" t="s">
        <v>952</v>
      </c>
      <c r="AL407" s="80" t="b">
        <v>0</v>
      </c>
      <c r="AM407" s="80">
        <v>4</v>
      </c>
      <c r="AN407" s="83" t="s">
        <v>935</v>
      </c>
      <c r="AO407" s="83" t="s">
        <v>972</v>
      </c>
      <c r="AP407" s="80" t="b">
        <v>0</v>
      </c>
      <c r="AQ407" s="83" t="s">
        <v>935</v>
      </c>
      <c r="AR407" s="80" t="s">
        <v>196</v>
      </c>
      <c r="AS407" s="80">
        <v>0</v>
      </c>
      <c r="AT407" s="80">
        <v>0</v>
      </c>
      <c r="AU407" s="80"/>
      <c r="AV407" s="80"/>
      <c r="AW407" s="80"/>
      <c r="AX407" s="80"/>
      <c r="AY407" s="80"/>
      <c r="AZ407" s="80"/>
      <c r="BA407" s="80"/>
      <c r="BB407" s="80"/>
      <c r="BC407">
        <v>1</v>
      </c>
      <c r="BD407" s="79" t="str">
        <f>REPLACE(INDEX(GroupVertices[Group],MATCH(Edges[[#This Row],[Vertex 1]],GroupVertices[Vertex],0)),1,1,"")</f>
        <v>10</v>
      </c>
      <c r="BE407" s="79" t="str">
        <f>REPLACE(INDEX(GroupVertices[Group],MATCH(Edges[[#This Row],[Vertex 2]],GroupVertices[Vertex],0)),1,1,"")</f>
        <v>10</v>
      </c>
      <c r="BF407" s="49">
        <v>1</v>
      </c>
      <c r="BG407" s="50">
        <v>2.6315789473684212</v>
      </c>
      <c r="BH407" s="49">
        <v>0</v>
      </c>
      <c r="BI407" s="50">
        <v>0</v>
      </c>
      <c r="BJ407" s="49">
        <v>0</v>
      </c>
      <c r="BK407" s="50">
        <v>0</v>
      </c>
      <c r="BL407" s="49">
        <v>37</v>
      </c>
      <c r="BM407" s="50">
        <v>97.36842105263158</v>
      </c>
      <c r="BN407" s="49">
        <v>38</v>
      </c>
    </row>
    <row r="408" spans="1:66" ht="15">
      <c r="A408" s="65" t="s">
        <v>358</v>
      </c>
      <c r="B408" s="65" t="s">
        <v>373</v>
      </c>
      <c r="C408" s="66" t="s">
        <v>2815</v>
      </c>
      <c r="D408" s="67">
        <v>3</v>
      </c>
      <c r="E408" s="66" t="s">
        <v>132</v>
      </c>
      <c r="F408" s="69">
        <v>32</v>
      </c>
      <c r="G408" s="66"/>
      <c r="H408" s="70"/>
      <c r="I408" s="71"/>
      <c r="J408" s="71"/>
      <c r="K408" s="35" t="s">
        <v>65</v>
      </c>
      <c r="L408" s="72">
        <v>408</v>
      </c>
      <c r="M408" s="72"/>
      <c r="N408" s="73"/>
      <c r="O408" s="80" t="s">
        <v>406</v>
      </c>
      <c r="P408" s="82">
        <v>44481.656331018516</v>
      </c>
      <c r="Q408" s="80" t="s">
        <v>503</v>
      </c>
      <c r="R408" s="85" t="str">
        <f>HYPERLINK("https://www.linkedin.com/pulse/why-you-should-keep-your-eye-cell-based-meat-kory-zelickson-/")</f>
        <v>https://www.linkedin.com/pulse/why-you-should-keep-your-eye-cell-based-meat-kory-zelickson-/</v>
      </c>
      <c r="S408" s="80" t="s">
        <v>522</v>
      </c>
      <c r="T408" s="83" t="s">
        <v>566</v>
      </c>
      <c r="U408" s="80"/>
      <c r="V408" s="85" t="str">
        <f>HYPERLINK("https://pbs.twimg.com/profile_images/1364041291755974661/67okjKhI_normal.jpg")</f>
        <v>https://pbs.twimg.com/profile_images/1364041291755974661/67okjKhI_normal.jpg</v>
      </c>
      <c r="W408" s="82">
        <v>44481.656331018516</v>
      </c>
      <c r="X408" s="87">
        <v>44481</v>
      </c>
      <c r="Y408" s="83" t="s">
        <v>739</v>
      </c>
      <c r="Z408" s="85" t="str">
        <f>HYPERLINK("https://twitter.com/kzelickson/status/1447951472457666562")</f>
        <v>https://twitter.com/kzelickson/status/1447951472457666562</v>
      </c>
      <c r="AA408" s="80"/>
      <c r="AB408" s="80"/>
      <c r="AC408" s="83" t="s">
        <v>926</v>
      </c>
      <c r="AD408" s="80"/>
      <c r="AE408" s="80" t="b">
        <v>0</v>
      </c>
      <c r="AF408" s="80">
        <v>2</v>
      </c>
      <c r="AG408" s="83" t="s">
        <v>952</v>
      </c>
      <c r="AH408" s="80" t="b">
        <v>0</v>
      </c>
      <c r="AI408" s="80" t="s">
        <v>967</v>
      </c>
      <c r="AJ408" s="80"/>
      <c r="AK408" s="83" t="s">
        <v>952</v>
      </c>
      <c r="AL408" s="80" t="b">
        <v>0</v>
      </c>
      <c r="AM408" s="80">
        <v>0</v>
      </c>
      <c r="AN408" s="83" t="s">
        <v>952</v>
      </c>
      <c r="AO408" s="83" t="s">
        <v>975</v>
      </c>
      <c r="AP408" s="80" t="b">
        <v>0</v>
      </c>
      <c r="AQ408" s="83" t="s">
        <v>926</v>
      </c>
      <c r="AR408" s="80" t="s">
        <v>196</v>
      </c>
      <c r="AS408" s="80">
        <v>0</v>
      </c>
      <c r="AT408" s="80">
        <v>0</v>
      </c>
      <c r="AU408" s="80"/>
      <c r="AV408" s="80"/>
      <c r="AW408" s="80"/>
      <c r="AX408" s="80"/>
      <c r="AY408" s="80"/>
      <c r="AZ408" s="80"/>
      <c r="BA408" s="80"/>
      <c r="BB408" s="80"/>
      <c r="BC408">
        <v>1</v>
      </c>
      <c r="BD408" s="79" t="str">
        <f>REPLACE(INDEX(GroupVertices[Group],MATCH(Edges[[#This Row],[Vertex 1]],GroupVertices[Vertex],0)),1,1,"")</f>
        <v>6</v>
      </c>
      <c r="BE408" s="79" t="str">
        <f>REPLACE(INDEX(GroupVertices[Group],MATCH(Edges[[#This Row],[Vertex 2]],GroupVertices[Vertex],0)),1,1,"")</f>
        <v>6</v>
      </c>
      <c r="BF408" s="49"/>
      <c r="BG408" s="50"/>
      <c r="BH408" s="49"/>
      <c r="BI408" s="50"/>
      <c r="BJ408" s="49"/>
      <c r="BK408" s="50"/>
      <c r="BL408" s="49"/>
      <c r="BM408" s="50"/>
      <c r="BN408" s="49"/>
    </row>
    <row r="409" spans="1:66" ht="15">
      <c r="A409" s="65" t="s">
        <v>358</v>
      </c>
      <c r="B409" s="65" t="s">
        <v>403</v>
      </c>
      <c r="C409" s="66" t="s">
        <v>2815</v>
      </c>
      <c r="D409" s="67">
        <v>3</v>
      </c>
      <c r="E409" s="66" t="s">
        <v>132</v>
      </c>
      <c r="F409" s="69">
        <v>32</v>
      </c>
      <c r="G409" s="66"/>
      <c r="H409" s="70"/>
      <c r="I409" s="71"/>
      <c r="J409" s="71"/>
      <c r="K409" s="35" t="s">
        <v>65</v>
      </c>
      <c r="L409" s="72">
        <v>409</v>
      </c>
      <c r="M409" s="72"/>
      <c r="N409" s="73"/>
      <c r="O409" s="80" t="s">
        <v>406</v>
      </c>
      <c r="P409" s="82">
        <v>44481.656331018516</v>
      </c>
      <c r="Q409" s="80" t="s">
        <v>503</v>
      </c>
      <c r="R409" s="85" t="str">
        <f>HYPERLINK("https://www.linkedin.com/pulse/why-you-should-keep-your-eye-cell-based-meat-kory-zelickson-/")</f>
        <v>https://www.linkedin.com/pulse/why-you-should-keep-your-eye-cell-based-meat-kory-zelickson-/</v>
      </c>
      <c r="S409" s="80" t="s">
        <v>522</v>
      </c>
      <c r="T409" s="83" t="s">
        <v>566</v>
      </c>
      <c r="U409" s="80"/>
      <c r="V409" s="85" t="str">
        <f>HYPERLINK("https://pbs.twimg.com/profile_images/1364041291755974661/67okjKhI_normal.jpg")</f>
        <v>https://pbs.twimg.com/profile_images/1364041291755974661/67okjKhI_normal.jpg</v>
      </c>
      <c r="W409" s="82">
        <v>44481.656331018516</v>
      </c>
      <c r="X409" s="87">
        <v>44481</v>
      </c>
      <c r="Y409" s="83" t="s">
        <v>739</v>
      </c>
      <c r="Z409" s="85" t="str">
        <f>HYPERLINK("https://twitter.com/kzelickson/status/1447951472457666562")</f>
        <v>https://twitter.com/kzelickson/status/1447951472457666562</v>
      </c>
      <c r="AA409" s="80"/>
      <c r="AB409" s="80"/>
      <c r="AC409" s="83" t="s">
        <v>926</v>
      </c>
      <c r="AD409" s="80"/>
      <c r="AE409" s="80" t="b">
        <v>0</v>
      </c>
      <c r="AF409" s="80">
        <v>2</v>
      </c>
      <c r="AG409" s="83" t="s">
        <v>952</v>
      </c>
      <c r="AH409" s="80" t="b">
        <v>0</v>
      </c>
      <c r="AI409" s="80" t="s">
        <v>967</v>
      </c>
      <c r="AJ409" s="80"/>
      <c r="AK409" s="83" t="s">
        <v>952</v>
      </c>
      <c r="AL409" s="80" t="b">
        <v>0</v>
      </c>
      <c r="AM409" s="80">
        <v>0</v>
      </c>
      <c r="AN409" s="83" t="s">
        <v>952</v>
      </c>
      <c r="AO409" s="83" t="s">
        <v>975</v>
      </c>
      <c r="AP409" s="80" t="b">
        <v>0</v>
      </c>
      <c r="AQ409" s="83" t="s">
        <v>926</v>
      </c>
      <c r="AR409" s="80" t="s">
        <v>196</v>
      </c>
      <c r="AS409" s="80">
        <v>0</v>
      </c>
      <c r="AT409" s="80">
        <v>0</v>
      </c>
      <c r="AU409" s="80"/>
      <c r="AV409" s="80"/>
      <c r="AW409" s="80"/>
      <c r="AX409" s="80"/>
      <c r="AY409" s="80"/>
      <c r="AZ409" s="80"/>
      <c r="BA409" s="80"/>
      <c r="BB409" s="80"/>
      <c r="BC409">
        <v>1</v>
      </c>
      <c r="BD409" s="79" t="str">
        <f>REPLACE(INDEX(GroupVertices[Group],MATCH(Edges[[#This Row],[Vertex 1]],GroupVertices[Vertex],0)),1,1,"")</f>
        <v>6</v>
      </c>
      <c r="BE409" s="79" t="str">
        <f>REPLACE(INDEX(GroupVertices[Group],MATCH(Edges[[#This Row],[Vertex 2]],GroupVertices[Vertex],0)),1,1,"")</f>
        <v>6</v>
      </c>
      <c r="BF409" s="49"/>
      <c r="BG409" s="50"/>
      <c r="BH409" s="49"/>
      <c r="BI409" s="50"/>
      <c r="BJ409" s="49"/>
      <c r="BK409" s="50"/>
      <c r="BL409" s="49"/>
      <c r="BM409" s="50"/>
      <c r="BN409" s="49"/>
    </row>
    <row r="410" spans="1:66" ht="15">
      <c r="A410" s="65" t="s">
        <v>358</v>
      </c>
      <c r="B410" s="65" t="s">
        <v>404</v>
      </c>
      <c r="C410" s="66" t="s">
        <v>2815</v>
      </c>
      <c r="D410" s="67">
        <v>3</v>
      </c>
      <c r="E410" s="66" t="s">
        <v>132</v>
      </c>
      <c r="F410" s="69">
        <v>32</v>
      </c>
      <c r="G410" s="66"/>
      <c r="H410" s="70"/>
      <c r="I410" s="71"/>
      <c r="J410" s="71"/>
      <c r="K410" s="35" t="s">
        <v>65</v>
      </c>
      <c r="L410" s="72">
        <v>410</v>
      </c>
      <c r="M410" s="72"/>
      <c r="N410" s="73"/>
      <c r="O410" s="80" t="s">
        <v>406</v>
      </c>
      <c r="P410" s="82">
        <v>44481.656331018516</v>
      </c>
      <c r="Q410" s="80" t="s">
        <v>503</v>
      </c>
      <c r="R410" s="85" t="str">
        <f>HYPERLINK("https://www.linkedin.com/pulse/why-you-should-keep-your-eye-cell-based-meat-kory-zelickson-/")</f>
        <v>https://www.linkedin.com/pulse/why-you-should-keep-your-eye-cell-based-meat-kory-zelickson-/</v>
      </c>
      <c r="S410" s="80" t="s">
        <v>522</v>
      </c>
      <c r="T410" s="83" t="s">
        <v>566</v>
      </c>
      <c r="U410" s="80"/>
      <c r="V410" s="85" t="str">
        <f>HYPERLINK("https://pbs.twimg.com/profile_images/1364041291755974661/67okjKhI_normal.jpg")</f>
        <v>https://pbs.twimg.com/profile_images/1364041291755974661/67okjKhI_normal.jpg</v>
      </c>
      <c r="W410" s="82">
        <v>44481.656331018516</v>
      </c>
      <c r="X410" s="87">
        <v>44481</v>
      </c>
      <c r="Y410" s="83" t="s">
        <v>739</v>
      </c>
      <c r="Z410" s="85" t="str">
        <f>HYPERLINK("https://twitter.com/kzelickson/status/1447951472457666562")</f>
        <v>https://twitter.com/kzelickson/status/1447951472457666562</v>
      </c>
      <c r="AA410" s="80"/>
      <c r="AB410" s="80"/>
      <c r="AC410" s="83" t="s">
        <v>926</v>
      </c>
      <c r="AD410" s="80"/>
      <c r="AE410" s="80" t="b">
        <v>0</v>
      </c>
      <c r="AF410" s="80">
        <v>2</v>
      </c>
      <c r="AG410" s="83" t="s">
        <v>952</v>
      </c>
      <c r="AH410" s="80" t="b">
        <v>0</v>
      </c>
      <c r="AI410" s="80" t="s">
        <v>967</v>
      </c>
      <c r="AJ410" s="80"/>
      <c r="AK410" s="83" t="s">
        <v>952</v>
      </c>
      <c r="AL410" s="80" t="b">
        <v>0</v>
      </c>
      <c r="AM410" s="80">
        <v>0</v>
      </c>
      <c r="AN410" s="83" t="s">
        <v>952</v>
      </c>
      <c r="AO410" s="83" t="s">
        <v>975</v>
      </c>
      <c r="AP410" s="80" t="b">
        <v>0</v>
      </c>
      <c r="AQ410" s="83" t="s">
        <v>926</v>
      </c>
      <c r="AR410" s="80" t="s">
        <v>196</v>
      </c>
      <c r="AS410" s="80">
        <v>0</v>
      </c>
      <c r="AT410" s="80">
        <v>0</v>
      </c>
      <c r="AU410" s="80"/>
      <c r="AV410" s="80"/>
      <c r="AW410" s="80"/>
      <c r="AX410" s="80"/>
      <c r="AY410" s="80"/>
      <c r="AZ410" s="80"/>
      <c r="BA410" s="80"/>
      <c r="BB410" s="80"/>
      <c r="BC410">
        <v>1</v>
      </c>
      <c r="BD410" s="79" t="str">
        <f>REPLACE(INDEX(GroupVertices[Group],MATCH(Edges[[#This Row],[Vertex 1]],GroupVertices[Vertex],0)),1,1,"")</f>
        <v>6</v>
      </c>
      <c r="BE410" s="79" t="str">
        <f>REPLACE(INDEX(GroupVertices[Group],MATCH(Edges[[#This Row],[Vertex 2]],GroupVertices[Vertex],0)),1,1,"")</f>
        <v>6</v>
      </c>
      <c r="BF410" s="49">
        <v>1</v>
      </c>
      <c r="BG410" s="50">
        <v>2.7027027027027026</v>
      </c>
      <c r="BH410" s="49">
        <v>0</v>
      </c>
      <c r="BI410" s="50">
        <v>0</v>
      </c>
      <c r="BJ410" s="49">
        <v>0</v>
      </c>
      <c r="BK410" s="50">
        <v>0</v>
      </c>
      <c r="BL410" s="49">
        <v>36</v>
      </c>
      <c r="BM410" s="50">
        <v>97.29729729729729</v>
      </c>
      <c r="BN410" s="49">
        <v>37</v>
      </c>
    </row>
    <row r="411" spans="1:66" ht="15">
      <c r="A411" s="65" t="s">
        <v>359</v>
      </c>
      <c r="B411" s="65" t="s">
        <v>258</v>
      </c>
      <c r="C411" s="66" t="s">
        <v>2815</v>
      </c>
      <c r="D411" s="67">
        <v>3</v>
      </c>
      <c r="E411" s="66" t="s">
        <v>132</v>
      </c>
      <c r="F411" s="69">
        <v>32</v>
      </c>
      <c r="G411" s="66"/>
      <c r="H411" s="70"/>
      <c r="I411" s="71"/>
      <c r="J411" s="71"/>
      <c r="K411" s="35" t="s">
        <v>65</v>
      </c>
      <c r="L411" s="72">
        <v>411</v>
      </c>
      <c r="M411" s="72"/>
      <c r="N411" s="73"/>
      <c r="O411" s="80" t="s">
        <v>406</v>
      </c>
      <c r="P411" s="82">
        <v>44481.735185185185</v>
      </c>
      <c r="Q411" s="80" t="s">
        <v>504</v>
      </c>
      <c r="R411" s="80"/>
      <c r="S411" s="80"/>
      <c r="T411" s="80"/>
      <c r="U411" s="80"/>
      <c r="V411" s="85" t="str">
        <f>HYPERLINK("https://pbs.twimg.com/profile_images/1349953202402197506/8cqA-Ycg_normal.jpg")</f>
        <v>https://pbs.twimg.com/profile_images/1349953202402197506/8cqA-Ycg_normal.jpg</v>
      </c>
      <c r="W411" s="82">
        <v>44481.735185185185</v>
      </c>
      <c r="X411" s="87">
        <v>44481</v>
      </c>
      <c r="Y411" s="83" t="s">
        <v>740</v>
      </c>
      <c r="Z411" s="85" t="str">
        <f>HYPERLINK("https://twitter.com/charlie_runners/status/1447980049055961093")</f>
        <v>https://twitter.com/charlie_runners/status/1447980049055961093</v>
      </c>
      <c r="AA411" s="80"/>
      <c r="AB411" s="80"/>
      <c r="AC411" s="83" t="s">
        <v>927</v>
      </c>
      <c r="AD411" s="83" t="s">
        <v>950</v>
      </c>
      <c r="AE411" s="80" t="b">
        <v>0</v>
      </c>
      <c r="AF411" s="80">
        <v>2</v>
      </c>
      <c r="AG411" s="83" t="s">
        <v>965</v>
      </c>
      <c r="AH411" s="80" t="b">
        <v>0</v>
      </c>
      <c r="AI411" s="80" t="s">
        <v>967</v>
      </c>
      <c r="AJ411" s="80"/>
      <c r="AK411" s="83" t="s">
        <v>952</v>
      </c>
      <c r="AL411" s="80" t="b">
        <v>0</v>
      </c>
      <c r="AM411" s="80">
        <v>0</v>
      </c>
      <c r="AN411" s="83" t="s">
        <v>952</v>
      </c>
      <c r="AO411" s="83" t="s">
        <v>972</v>
      </c>
      <c r="AP411" s="80" t="b">
        <v>0</v>
      </c>
      <c r="AQ411" s="83" t="s">
        <v>950</v>
      </c>
      <c r="AR411" s="80" t="s">
        <v>196</v>
      </c>
      <c r="AS411" s="80">
        <v>0</v>
      </c>
      <c r="AT411" s="80">
        <v>0</v>
      </c>
      <c r="AU411" s="80"/>
      <c r="AV411" s="80"/>
      <c r="AW411" s="80"/>
      <c r="AX411" s="80"/>
      <c r="AY411" s="80"/>
      <c r="AZ411" s="80"/>
      <c r="BA411" s="80"/>
      <c r="BB411" s="80"/>
      <c r="BC411">
        <v>1</v>
      </c>
      <c r="BD411" s="79" t="str">
        <f>REPLACE(INDEX(GroupVertices[Group],MATCH(Edges[[#This Row],[Vertex 1]],GroupVertices[Vertex],0)),1,1,"")</f>
        <v>5</v>
      </c>
      <c r="BE411" s="79" t="str">
        <f>REPLACE(INDEX(GroupVertices[Group],MATCH(Edges[[#This Row],[Vertex 2]],GroupVertices[Vertex],0)),1,1,"")</f>
        <v>5</v>
      </c>
      <c r="BF411" s="49">
        <v>1</v>
      </c>
      <c r="BG411" s="50">
        <v>2.2222222222222223</v>
      </c>
      <c r="BH411" s="49">
        <v>0</v>
      </c>
      <c r="BI411" s="50">
        <v>0</v>
      </c>
      <c r="BJ411" s="49">
        <v>0</v>
      </c>
      <c r="BK411" s="50">
        <v>0</v>
      </c>
      <c r="BL411" s="49">
        <v>44</v>
      </c>
      <c r="BM411" s="50">
        <v>97.77777777777777</v>
      </c>
      <c r="BN411" s="49">
        <v>45</v>
      </c>
    </row>
    <row r="412" spans="1:66" ht="15">
      <c r="A412" s="65" t="s">
        <v>359</v>
      </c>
      <c r="B412" s="65" t="s">
        <v>359</v>
      </c>
      <c r="C412" s="66" t="s">
        <v>2815</v>
      </c>
      <c r="D412" s="67">
        <v>3</v>
      </c>
      <c r="E412" s="66" t="s">
        <v>132</v>
      </c>
      <c r="F412" s="69">
        <v>32</v>
      </c>
      <c r="G412" s="66"/>
      <c r="H412" s="70"/>
      <c r="I412" s="71"/>
      <c r="J412" s="71"/>
      <c r="K412" s="35" t="s">
        <v>65</v>
      </c>
      <c r="L412" s="72">
        <v>412</v>
      </c>
      <c r="M412" s="72"/>
      <c r="N412" s="73"/>
      <c r="O412" s="80" t="s">
        <v>196</v>
      </c>
      <c r="P412" s="82">
        <v>44480.979791666665</v>
      </c>
      <c r="Q412" s="80" t="s">
        <v>505</v>
      </c>
      <c r="R412" s="85" t="str">
        <f>HYPERLINK("https://www.frontiersin.org/articles/10.3389/fsufs.2021.744199/full?utm_source=S-TWT&amp;utm_medium=SNET&amp;utm_campaign=ECO_FSUSTAIN_XXXXXXXX_auto-dlvrit")</f>
        <v>https://www.frontiersin.org/articles/10.3389/fsufs.2021.744199/full?utm_source=S-TWT&amp;utm_medium=SNET&amp;utm_campaign=ECO_FSUSTAIN_XXXXXXXX_auto-dlvrit</v>
      </c>
      <c r="S412" s="80" t="s">
        <v>547</v>
      </c>
      <c r="T412" s="80"/>
      <c r="U412" s="80"/>
      <c r="V412" s="85" t="str">
        <f>HYPERLINK("https://pbs.twimg.com/profile_images/1349953202402197506/8cqA-Ycg_normal.jpg")</f>
        <v>https://pbs.twimg.com/profile_images/1349953202402197506/8cqA-Ycg_normal.jpg</v>
      </c>
      <c r="W412" s="82">
        <v>44480.979791666665</v>
      </c>
      <c r="X412" s="87">
        <v>44480</v>
      </c>
      <c r="Y412" s="83" t="s">
        <v>741</v>
      </c>
      <c r="Z412" s="85" t="str">
        <f>HYPERLINK("https://twitter.com/charlie_runners/status/1447706302373777408")</f>
        <v>https://twitter.com/charlie_runners/status/1447706302373777408</v>
      </c>
      <c r="AA412" s="80"/>
      <c r="AB412" s="80"/>
      <c r="AC412" s="83" t="s">
        <v>928</v>
      </c>
      <c r="AD412" s="80"/>
      <c r="AE412" s="80" t="b">
        <v>0</v>
      </c>
      <c r="AF412" s="80">
        <v>0</v>
      </c>
      <c r="AG412" s="83" t="s">
        <v>952</v>
      </c>
      <c r="AH412" s="80" t="b">
        <v>0</v>
      </c>
      <c r="AI412" s="80" t="s">
        <v>967</v>
      </c>
      <c r="AJ412" s="80"/>
      <c r="AK412" s="83" t="s">
        <v>952</v>
      </c>
      <c r="AL412" s="80" t="b">
        <v>0</v>
      </c>
      <c r="AM412" s="80">
        <v>0</v>
      </c>
      <c r="AN412" s="83" t="s">
        <v>952</v>
      </c>
      <c r="AO412" s="83" t="s">
        <v>972</v>
      </c>
      <c r="AP412" s="80" t="b">
        <v>0</v>
      </c>
      <c r="AQ412" s="83" t="s">
        <v>928</v>
      </c>
      <c r="AR412" s="80" t="s">
        <v>196</v>
      </c>
      <c r="AS412" s="80">
        <v>0</v>
      </c>
      <c r="AT412" s="80">
        <v>0</v>
      </c>
      <c r="AU412" s="80"/>
      <c r="AV412" s="80"/>
      <c r="AW412" s="80"/>
      <c r="AX412" s="80"/>
      <c r="AY412" s="80"/>
      <c r="AZ412" s="80"/>
      <c r="BA412" s="80"/>
      <c r="BB412" s="80"/>
      <c r="BC412">
        <v>1</v>
      </c>
      <c r="BD412" s="79" t="str">
        <f>REPLACE(INDEX(GroupVertices[Group],MATCH(Edges[[#This Row],[Vertex 1]],GroupVertices[Vertex],0)),1,1,"")</f>
        <v>5</v>
      </c>
      <c r="BE412" s="79" t="str">
        <f>REPLACE(INDEX(GroupVertices[Group],MATCH(Edges[[#This Row],[Vertex 2]],GroupVertices[Vertex],0)),1,1,"")</f>
        <v>5</v>
      </c>
      <c r="BF412" s="49">
        <v>2</v>
      </c>
      <c r="BG412" s="50">
        <v>4.761904761904762</v>
      </c>
      <c r="BH412" s="49">
        <v>0</v>
      </c>
      <c r="BI412" s="50">
        <v>0</v>
      </c>
      <c r="BJ412" s="49">
        <v>0</v>
      </c>
      <c r="BK412" s="50">
        <v>0</v>
      </c>
      <c r="BL412" s="49">
        <v>40</v>
      </c>
      <c r="BM412" s="50">
        <v>95.23809523809524</v>
      </c>
      <c r="BN412" s="49">
        <v>42</v>
      </c>
    </row>
    <row r="413" spans="1:66" ht="15">
      <c r="A413" s="65" t="s">
        <v>360</v>
      </c>
      <c r="B413" s="65" t="s">
        <v>405</v>
      </c>
      <c r="C413" s="66" t="s">
        <v>2815</v>
      </c>
      <c r="D413" s="67">
        <v>3</v>
      </c>
      <c r="E413" s="66" t="s">
        <v>132</v>
      </c>
      <c r="F413" s="69">
        <v>32</v>
      </c>
      <c r="G413" s="66"/>
      <c r="H413" s="70"/>
      <c r="I413" s="71"/>
      <c r="J413" s="71"/>
      <c r="K413" s="35" t="s">
        <v>65</v>
      </c>
      <c r="L413" s="72">
        <v>413</v>
      </c>
      <c r="M413" s="72"/>
      <c r="N413" s="73"/>
      <c r="O413" s="80" t="s">
        <v>409</v>
      </c>
      <c r="P413" s="82">
        <v>44481.735601851855</v>
      </c>
      <c r="Q413" s="80" t="s">
        <v>506</v>
      </c>
      <c r="R413" s="80"/>
      <c r="S413" s="80"/>
      <c r="T413" s="80"/>
      <c r="U413" s="80"/>
      <c r="V413" s="85" t="str">
        <f>HYPERLINK("https://pbs.twimg.com/profile_images/1196826670185033733/ofstaVMj_normal.jpg")</f>
        <v>https://pbs.twimg.com/profile_images/1196826670185033733/ofstaVMj_normal.jpg</v>
      </c>
      <c r="W413" s="82">
        <v>44481.735601851855</v>
      </c>
      <c r="X413" s="87">
        <v>44481</v>
      </c>
      <c r="Y413" s="83" t="s">
        <v>742</v>
      </c>
      <c r="Z413" s="85" t="str">
        <f>HYPERLINK("https://twitter.com/pietersemarc/status/1447980200768294923")</f>
        <v>https://twitter.com/pietersemarc/status/1447980200768294923</v>
      </c>
      <c r="AA413" s="80"/>
      <c r="AB413" s="80"/>
      <c r="AC413" s="83" t="s">
        <v>929</v>
      </c>
      <c r="AD413" s="83" t="s">
        <v>951</v>
      </c>
      <c r="AE413" s="80" t="b">
        <v>0</v>
      </c>
      <c r="AF413" s="80">
        <v>4</v>
      </c>
      <c r="AG413" s="83" t="s">
        <v>966</v>
      </c>
      <c r="AH413" s="80" t="b">
        <v>0</v>
      </c>
      <c r="AI413" s="80" t="s">
        <v>967</v>
      </c>
      <c r="AJ413" s="80"/>
      <c r="AK413" s="83" t="s">
        <v>952</v>
      </c>
      <c r="AL413" s="80" t="b">
        <v>0</v>
      </c>
      <c r="AM413" s="80">
        <v>0</v>
      </c>
      <c r="AN413" s="83" t="s">
        <v>952</v>
      </c>
      <c r="AO413" s="83" t="s">
        <v>982</v>
      </c>
      <c r="AP413" s="80" t="b">
        <v>0</v>
      </c>
      <c r="AQ413" s="83" t="s">
        <v>951</v>
      </c>
      <c r="AR413" s="80" t="s">
        <v>196</v>
      </c>
      <c r="AS413" s="80">
        <v>0</v>
      </c>
      <c r="AT413" s="80">
        <v>0</v>
      </c>
      <c r="AU413" s="80"/>
      <c r="AV413" s="80"/>
      <c r="AW413" s="80"/>
      <c r="AX413" s="80"/>
      <c r="AY413" s="80"/>
      <c r="AZ413" s="80"/>
      <c r="BA413" s="80"/>
      <c r="BB413" s="80"/>
      <c r="BC413">
        <v>1</v>
      </c>
      <c r="BD413" s="79" t="str">
        <f>REPLACE(INDEX(GroupVertices[Group],MATCH(Edges[[#This Row],[Vertex 1]],GroupVertices[Vertex],0)),1,1,"")</f>
        <v>17</v>
      </c>
      <c r="BE413" s="79" t="str">
        <f>REPLACE(INDEX(GroupVertices[Group],MATCH(Edges[[#This Row],[Vertex 2]],GroupVertices[Vertex],0)),1,1,"")</f>
        <v>17</v>
      </c>
      <c r="BF413" s="49">
        <v>2</v>
      </c>
      <c r="BG413" s="50">
        <v>4.081632653061225</v>
      </c>
      <c r="BH413" s="49">
        <v>0</v>
      </c>
      <c r="BI413" s="50">
        <v>0</v>
      </c>
      <c r="BJ413" s="49">
        <v>0</v>
      </c>
      <c r="BK413" s="50">
        <v>0</v>
      </c>
      <c r="BL413" s="49">
        <v>47</v>
      </c>
      <c r="BM413" s="50">
        <v>95.91836734693878</v>
      </c>
      <c r="BN413" s="49">
        <v>49</v>
      </c>
    </row>
    <row r="414" spans="1:66" ht="15">
      <c r="A414" s="65" t="s">
        <v>361</v>
      </c>
      <c r="B414" s="65" t="s">
        <v>390</v>
      </c>
      <c r="C414" s="66" t="s">
        <v>2815</v>
      </c>
      <c r="D414" s="67">
        <v>3</v>
      </c>
      <c r="E414" s="66" t="s">
        <v>132</v>
      </c>
      <c r="F414" s="69">
        <v>32</v>
      </c>
      <c r="G414" s="66"/>
      <c r="H414" s="70"/>
      <c r="I414" s="71"/>
      <c r="J414" s="71"/>
      <c r="K414" s="35" t="s">
        <v>65</v>
      </c>
      <c r="L414" s="72">
        <v>414</v>
      </c>
      <c r="M414" s="72"/>
      <c r="N414" s="73"/>
      <c r="O414" s="80" t="s">
        <v>407</v>
      </c>
      <c r="P414" s="82">
        <v>44480.3753125</v>
      </c>
      <c r="Q414" s="80" t="s">
        <v>454</v>
      </c>
      <c r="R414" s="85" t="str">
        <f>HYPERLINK("https://vegnews.com/2021/10/ashton-kutcher-cell-based-meat")</f>
        <v>https://vegnews.com/2021/10/ashton-kutcher-cell-based-meat</v>
      </c>
      <c r="S414" s="80" t="s">
        <v>532</v>
      </c>
      <c r="T414" s="83" t="s">
        <v>558</v>
      </c>
      <c r="U414" s="80"/>
      <c r="V414" s="85" t="str">
        <f>HYPERLINK("https://pbs.twimg.com/profile_images/1371467367474200579/0gVpA3fB_normal.jpg")</f>
        <v>https://pbs.twimg.com/profile_images/1371467367474200579/0gVpA3fB_normal.jpg</v>
      </c>
      <c r="W414" s="82">
        <v>44480.3753125</v>
      </c>
      <c r="X414" s="87">
        <v>44480</v>
      </c>
      <c r="Y414" s="83" t="s">
        <v>743</v>
      </c>
      <c r="Z414" s="85" t="str">
        <f>HYPERLINK("https://twitter.com/meatech3d/status/1447487246731517953")</f>
        <v>https://twitter.com/meatech3d/status/1447487246731517953</v>
      </c>
      <c r="AA414" s="80"/>
      <c r="AB414" s="80"/>
      <c r="AC414" s="83" t="s">
        <v>930</v>
      </c>
      <c r="AD414" s="80"/>
      <c r="AE414" s="80" t="b">
        <v>0</v>
      </c>
      <c r="AF414" s="80">
        <v>0</v>
      </c>
      <c r="AG414" s="83" t="s">
        <v>952</v>
      </c>
      <c r="AH414" s="80" t="b">
        <v>0</v>
      </c>
      <c r="AI414" s="80" t="s">
        <v>967</v>
      </c>
      <c r="AJ414" s="80"/>
      <c r="AK414" s="83" t="s">
        <v>952</v>
      </c>
      <c r="AL414" s="80" t="b">
        <v>0</v>
      </c>
      <c r="AM414" s="80">
        <v>6</v>
      </c>
      <c r="AN414" s="83" t="s">
        <v>931</v>
      </c>
      <c r="AO414" s="83" t="s">
        <v>972</v>
      </c>
      <c r="AP414" s="80" t="b">
        <v>0</v>
      </c>
      <c r="AQ414" s="83" t="s">
        <v>931</v>
      </c>
      <c r="AR414" s="80" t="s">
        <v>196</v>
      </c>
      <c r="AS414" s="80">
        <v>0</v>
      </c>
      <c r="AT414" s="80">
        <v>0</v>
      </c>
      <c r="AU414" s="80"/>
      <c r="AV414" s="80"/>
      <c r="AW414" s="80"/>
      <c r="AX414" s="80"/>
      <c r="AY414" s="80"/>
      <c r="AZ414" s="80"/>
      <c r="BA414" s="80"/>
      <c r="BB414" s="80"/>
      <c r="BC414">
        <v>1</v>
      </c>
      <c r="BD414" s="79" t="str">
        <f>REPLACE(INDEX(GroupVertices[Group],MATCH(Edges[[#This Row],[Vertex 1]],GroupVertices[Vertex],0)),1,1,"")</f>
        <v>4</v>
      </c>
      <c r="BE414" s="79" t="str">
        <f>REPLACE(INDEX(GroupVertices[Group],MATCH(Edges[[#This Row],[Vertex 2]],GroupVertices[Vertex],0)),1,1,"")</f>
        <v>4</v>
      </c>
      <c r="BF414" s="49"/>
      <c r="BG414" s="50"/>
      <c r="BH414" s="49"/>
      <c r="BI414" s="50"/>
      <c r="BJ414" s="49"/>
      <c r="BK414" s="50"/>
      <c r="BL414" s="49"/>
      <c r="BM414" s="50"/>
      <c r="BN414" s="49"/>
    </row>
    <row r="415" spans="1:66" ht="15">
      <c r="A415" s="65" t="s">
        <v>361</v>
      </c>
      <c r="B415" s="65" t="s">
        <v>362</v>
      </c>
      <c r="C415" s="66" t="s">
        <v>2815</v>
      </c>
      <c r="D415" s="67">
        <v>3</v>
      </c>
      <c r="E415" s="66" t="s">
        <v>132</v>
      </c>
      <c r="F415" s="69">
        <v>32</v>
      </c>
      <c r="G415" s="66"/>
      <c r="H415" s="70"/>
      <c r="I415" s="71"/>
      <c r="J415" s="71"/>
      <c r="K415" s="35" t="s">
        <v>66</v>
      </c>
      <c r="L415" s="72">
        <v>415</v>
      </c>
      <c r="M415" s="72"/>
      <c r="N415" s="73"/>
      <c r="O415" s="80" t="s">
        <v>408</v>
      </c>
      <c r="P415" s="82">
        <v>44480.3753125</v>
      </c>
      <c r="Q415" s="80" t="s">
        <v>454</v>
      </c>
      <c r="R415" s="85" t="str">
        <f>HYPERLINK("https://vegnews.com/2021/10/ashton-kutcher-cell-based-meat")</f>
        <v>https://vegnews.com/2021/10/ashton-kutcher-cell-based-meat</v>
      </c>
      <c r="S415" s="80" t="s">
        <v>532</v>
      </c>
      <c r="T415" s="83" t="s">
        <v>558</v>
      </c>
      <c r="U415" s="80"/>
      <c r="V415" s="85" t="str">
        <f>HYPERLINK("https://pbs.twimg.com/profile_images/1371467367474200579/0gVpA3fB_normal.jpg")</f>
        <v>https://pbs.twimg.com/profile_images/1371467367474200579/0gVpA3fB_normal.jpg</v>
      </c>
      <c r="W415" s="82">
        <v>44480.3753125</v>
      </c>
      <c r="X415" s="87">
        <v>44480</v>
      </c>
      <c r="Y415" s="83" t="s">
        <v>743</v>
      </c>
      <c r="Z415" s="85" t="str">
        <f>HYPERLINK("https://twitter.com/meatech3d/status/1447487246731517953")</f>
        <v>https://twitter.com/meatech3d/status/1447487246731517953</v>
      </c>
      <c r="AA415" s="80"/>
      <c r="AB415" s="80"/>
      <c r="AC415" s="83" t="s">
        <v>930</v>
      </c>
      <c r="AD415" s="80"/>
      <c r="AE415" s="80" t="b">
        <v>0</v>
      </c>
      <c r="AF415" s="80">
        <v>0</v>
      </c>
      <c r="AG415" s="83" t="s">
        <v>952</v>
      </c>
      <c r="AH415" s="80" t="b">
        <v>0</v>
      </c>
      <c r="AI415" s="80" t="s">
        <v>967</v>
      </c>
      <c r="AJ415" s="80"/>
      <c r="AK415" s="83" t="s">
        <v>952</v>
      </c>
      <c r="AL415" s="80" t="b">
        <v>0</v>
      </c>
      <c r="AM415" s="80">
        <v>6</v>
      </c>
      <c r="AN415" s="83" t="s">
        <v>931</v>
      </c>
      <c r="AO415" s="83" t="s">
        <v>972</v>
      </c>
      <c r="AP415" s="80" t="b">
        <v>0</v>
      </c>
      <c r="AQ415" s="83" t="s">
        <v>931</v>
      </c>
      <c r="AR415" s="80" t="s">
        <v>196</v>
      </c>
      <c r="AS415" s="80">
        <v>0</v>
      </c>
      <c r="AT415" s="80">
        <v>0</v>
      </c>
      <c r="AU415" s="80"/>
      <c r="AV415" s="80"/>
      <c r="AW415" s="80"/>
      <c r="AX415" s="80"/>
      <c r="AY415" s="80"/>
      <c r="AZ415" s="80"/>
      <c r="BA415" s="80"/>
      <c r="BB415" s="80"/>
      <c r="BC415">
        <v>1</v>
      </c>
      <c r="BD415" s="79" t="str">
        <f>REPLACE(INDEX(GroupVertices[Group],MATCH(Edges[[#This Row],[Vertex 1]],GroupVertices[Vertex],0)),1,1,"")</f>
        <v>4</v>
      </c>
      <c r="BE415" s="79" t="str">
        <f>REPLACE(INDEX(GroupVertices[Group],MATCH(Edges[[#This Row],[Vertex 2]],GroupVertices[Vertex],0)),1,1,"")</f>
        <v>4</v>
      </c>
      <c r="BF415" s="49">
        <v>1</v>
      </c>
      <c r="BG415" s="50">
        <v>5.555555555555555</v>
      </c>
      <c r="BH415" s="49">
        <v>0</v>
      </c>
      <c r="BI415" s="50">
        <v>0</v>
      </c>
      <c r="BJ415" s="49">
        <v>0</v>
      </c>
      <c r="BK415" s="50">
        <v>0</v>
      </c>
      <c r="BL415" s="49">
        <v>17</v>
      </c>
      <c r="BM415" s="50">
        <v>94.44444444444444</v>
      </c>
      <c r="BN415" s="49">
        <v>18</v>
      </c>
    </row>
    <row r="416" spans="1:66" ht="15">
      <c r="A416" s="65" t="s">
        <v>362</v>
      </c>
      <c r="B416" s="65" t="s">
        <v>361</v>
      </c>
      <c r="C416" s="66" t="s">
        <v>2816</v>
      </c>
      <c r="D416" s="67">
        <v>6.5</v>
      </c>
      <c r="E416" s="66" t="s">
        <v>136</v>
      </c>
      <c r="F416" s="69">
        <v>28.75</v>
      </c>
      <c r="G416" s="66"/>
      <c r="H416" s="70"/>
      <c r="I416" s="71"/>
      <c r="J416" s="71"/>
      <c r="K416" s="35" t="s">
        <v>66</v>
      </c>
      <c r="L416" s="72">
        <v>416</v>
      </c>
      <c r="M416" s="72"/>
      <c r="N416" s="73"/>
      <c r="O416" s="80" t="s">
        <v>406</v>
      </c>
      <c r="P416" s="82">
        <v>44478.71666666667</v>
      </c>
      <c r="Q416" s="80" t="s">
        <v>454</v>
      </c>
      <c r="R416" s="85" t="str">
        <f>HYPERLINK("https://vegnews.com/2021/10/ashton-kutcher-cell-based-meat")</f>
        <v>https://vegnews.com/2021/10/ashton-kutcher-cell-based-meat</v>
      </c>
      <c r="S416" s="80" t="s">
        <v>532</v>
      </c>
      <c r="T416" s="83" t="s">
        <v>558</v>
      </c>
      <c r="U416" s="80"/>
      <c r="V416" s="85" t="str">
        <f>HYPERLINK("https://pbs.twimg.com/profile_images/1308856211597475840/X7PGunVx_normal.jpg")</f>
        <v>https://pbs.twimg.com/profile_images/1308856211597475840/X7PGunVx_normal.jpg</v>
      </c>
      <c r="W416" s="82">
        <v>44478.71666666667</v>
      </c>
      <c r="X416" s="87">
        <v>44478</v>
      </c>
      <c r="Y416" s="83" t="s">
        <v>744</v>
      </c>
      <c r="Z416" s="85" t="str">
        <f>HYPERLINK("https://twitter.com/vegnews/status/1446886176443539461")</f>
        <v>https://twitter.com/vegnews/status/1446886176443539461</v>
      </c>
      <c r="AA416" s="80"/>
      <c r="AB416" s="80"/>
      <c r="AC416" s="83" t="s">
        <v>931</v>
      </c>
      <c r="AD416" s="80"/>
      <c r="AE416" s="80" t="b">
        <v>0</v>
      </c>
      <c r="AF416" s="80">
        <v>37</v>
      </c>
      <c r="AG416" s="83" t="s">
        <v>952</v>
      </c>
      <c r="AH416" s="80" t="b">
        <v>0</v>
      </c>
      <c r="AI416" s="80" t="s">
        <v>967</v>
      </c>
      <c r="AJ416" s="80"/>
      <c r="AK416" s="83" t="s">
        <v>952</v>
      </c>
      <c r="AL416" s="80" t="b">
        <v>0</v>
      </c>
      <c r="AM416" s="80">
        <v>6</v>
      </c>
      <c r="AN416" s="83" t="s">
        <v>952</v>
      </c>
      <c r="AO416" s="83" t="s">
        <v>995</v>
      </c>
      <c r="AP416" s="80" t="b">
        <v>0</v>
      </c>
      <c r="AQ416" s="83" t="s">
        <v>931</v>
      </c>
      <c r="AR416" s="80" t="s">
        <v>196</v>
      </c>
      <c r="AS416" s="80">
        <v>0</v>
      </c>
      <c r="AT416" s="80">
        <v>0</v>
      </c>
      <c r="AU416" s="80"/>
      <c r="AV416" s="80"/>
      <c r="AW416" s="80"/>
      <c r="AX416" s="80"/>
      <c r="AY416" s="80"/>
      <c r="AZ416" s="80"/>
      <c r="BA416" s="80"/>
      <c r="BB416" s="80"/>
      <c r="BC416">
        <v>2</v>
      </c>
      <c r="BD416" s="79" t="str">
        <f>REPLACE(INDEX(GroupVertices[Group],MATCH(Edges[[#This Row],[Vertex 1]],GroupVertices[Vertex],0)),1,1,"")</f>
        <v>4</v>
      </c>
      <c r="BE416" s="79" t="str">
        <f>REPLACE(INDEX(GroupVertices[Group],MATCH(Edges[[#This Row],[Vertex 2]],GroupVertices[Vertex],0)),1,1,"")</f>
        <v>4</v>
      </c>
      <c r="BF416" s="49"/>
      <c r="BG416" s="50"/>
      <c r="BH416" s="49"/>
      <c r="BI416" s="50"/>
      <c r="BJ416" s="49"/>
      <c r="BK416" s="50"/>
      <c r="BL416" s="49"/>
      <c r="BM416" s="50"/>
      <c r="BN416" s="49"/>
    </row>
    <row r="417" spans="1:66" ht="15">
      <c r="A417" s="65" t="s">
        <v>362</v>
      </c>
      <c r="B417" s="65" t="s">
        <v>361</v>
      </c>
      <c r="C417" s="66" t="s">
        <v>2816</v>
      </c>
      <c r="D417" s="67">
        <v>6.5</v>
      </c>
      <c r="E417" s="66" t="s">
        <v>136</v>
      </c>
      <c r="F417" s="69">
        <v>28.75</v>
      </c>
      <c r="G417" s="66"/>
      <c r="H417" s="70"/>
      <c r="I417" s="71"/>
      <c r="J417" s="71"/>
      <c r="K417" s="35" t="s">
        <v>66</v>
      </c>
      <c r="L417" s="72">
        <v>417</v>
      </c>
      <c r="M417" s="72"/>
      <c r="N417" s="73"/>
      <c r="O417" s="80" t="s">
        <v>406</v>
      </c>
      <c r="P417" s="82">
        <v>44480.856944444444</v>
      </c>
      <c r="Q417" s="80" t="s">
        <v>507</v>
      </c>
      <c r="R417" s="85" t="str">
        <f>HYPERLINK("https://vegnews.com/2021/10/ashton-kutcher-cell-based-meat")</f>
        <v>https://vegnews.com/2021/10/ashton-kutcher-cell-based-meat</v>
      </c>
      <c r="S417" s="80" t="s">
        <v>532</v>
      </c>
      <c r="T417" s="83" t="s">
        <v>567</v>
      </c>
      <c r="U417" s="80"/>
      <c r="V417" s="85" t="str">
        <f>HYPERLINK("https://pbs.twimg.com/profile_images/1308856211597475840/X7PGunVx_normal.jpg")</f>
        <v>https://pbs.twimg.com/profile_images/1308856211597475840/X7PGunVx_normal.jpg</v>
      </c>
      <c r="W417" s="82">
        <v>44480.856944444444</v>
      </c>
      <c r="X417" s="87">
        <v>44480</v>
      </c>
      <c r="Y417" s="83" t="s">
        <v>745</v>
      </c>
      <c r="Z417" s="85" t="str">
        <f>HYPERLINK("https://twitter.com/vegnews/status/1447661786287771649")</f>
        <v>https://twitter.com/vegnews/status/1447661786287771649</v>
      </c>
      <c r="AA417" s="80"/>
      <c r="AB417" s="80"/>
      <c r="AC417" s="83" t="s">
        <v>932</v>
      </c>
      <c r="AD417" s="80"/>
      <c r="AE417" s="80" t="b">
        <v>0</v>
      </c>
      <c r="AF417" s="80">
        <v>13</v>
      </c>
      <c r="AG417" s="83" t="s">
        <v>952</v>
      </c>
      <c r="AH417" s="80" t="b">
        <v>0</v>
      </c>
      <c r="AI417" s="80" t="s">
        <v>967</v>
      </c>
      <c r="AJ417" s="80"/>
      <c r="AK417" s="83" t="s">
        <v>952</v>
      </c>
      <c r="AL417" s="80" t="b">
        <v>0</v>
      </c>
      <c r="AM417" s="80">
        <v>0</v>
      </c>
      <c r="AN417" s="83" t="s">
        <v>952</v>
      </c>
      <c r="AO417" s="83" t="s">
        <v>995</v>
      </c>
      <c r="AP417" s="80" t="b">
        <v>0</v>
      </c>
      <c r="AQ417" s="83" t="s">
        <v>932</v>
      </c>
      <c r="AR417" s="80" t="s">
        <v>196</v>
      </c>
      <c r="AS417" s="80">
        <v>0</v>
      </c>
      <c r="AT417" s="80">
        <v>0</v>
      </c>
      <c r="AU417" s="80"/>
      <c r="AV417" s="80"/>
      <c r="AW417" s="80"/>
      <c r="AX417" s="80"/>
      <c r="AY417" s="80"/>
      <c r="AZ417" s="80"/>
      <c r="BA417" s="80"/>
      <c r="BB417" s="80"/>
      <c r="BC417">
        <v>2</v>
      </c>
      <c r="BD417" s="79" t="str">
        <f>REPLACE(INDEX(GroupVertices[Group],MATCH(Edges[[#This Row],[Vertex 1]],GroupVertices[Vertex],0)),1,1,"")</f>
        <v>4</v>
      </c>
      <c r="BE417" s="79" t="str">
        <f>REPLACE(INDEX(GroupVertices[Group],MATCH(Edges[[#This Row],[Vertex 2]],GroupVertices[Vertex],0)),1,1,"")</f>
        <v>4</v>
      </c>
      <c r="BF417" s="49"/>
      <c r="BG417" s="50"/>
      <c r="BH417" s="49"/>
      <c r="BI417" s="50"/>
      <c r="BJ417" s="49"/>
      <c r="BK417" s="50"/>
      <c r="BL417" s="49"/>
      <c r="BM417" s="50"/>
      <c r="BN417" s="49"/>
    </row>
    <row r="418" spans="1:66" ht="15">
      <c r="A418" s="65" t="s">
        <v>363</v>
      </c>
      <c r="B418" s="65" t="s">
        <v>361</v>
      </c>
      <c r="C418" s="66" t="s">
        <v>2815</v>
      </c>
      <c r="D418" s="67">
        <v>3</v>
      </c>
      <c r="E418" s="66" t="s">
        <v>132</v>
      </c>
      <c r="F418" s="69">
        <v>32</v>
      </c>
      <c r="G418" s="66"/>
      <c r="H418" s="70"/>
      <c r="I418" s="71"/>
      <c r="J418" s="71"/>
      <c r="K418" s="35" t="s">
        <v>65</v>
      </c>
      <c r="L418" s="72">
        <v>418</v>
      </c>
      <c r="M418" s="72"/>
      <c r="N418" s="73"/>
      <c r="O418" s="80" t="s">
        <v>407</v>
      </c>
      <c r="P418" s="82">
        <v>44481.82710648148</v>
      </c>
      <c r="Q418" s="80" t="s">
        <v>454</v>
      </c>
      <c r="R418" s="85" t="str">
        <f>HYPERLINK("https://vegnews.com/2021/10/ashton-kutcher-cell-based-meat")</f>
        <v>https://vegnews.com/2021/10/ashton-kutcher-cell-based-meat</v>
      </c>
      <c r="S418" s="80" t="s">
        <v>532</v>
      </c>
      <c r="T418" s="83" t="s">
        <v>558</v>
      </c>
      <c r="U418" s="80"/>
      <c r="V418" s="85" t="str">
        <f>HYPERLINK("https://pbs.twimg.com/profile_images/1446755109124382720/ixL_-iTZ_normal.jpg")</f>
        <v>https://pbs.twimg.com/profile_images/1446755109124382720/ixL_-iTZ_normal.jpg</v>
      </c>
      <c r="W418" s="82">
        <v>44481.82710648148</v>
      </c>
      <c r="X418" s="87">
        <v>44481</v>
      </c>
      <c r="Y418" s="83" t="s">
        <v>746</v>
      </c>
      <c r="Z418" s="85" t="str">
        <f>HYPERLINK("https://twitter.com/sophiajennifer5/status/1448013361577345034")</f>
        <v>https://twitter.com/sophiajennifer5/status/1448013361577345034</v>
      </c>
      <c r="AA418" s="80"/>
      <c r="AB418" s="80"/>
      <c r="AC418" s="83" t="s">
        <v>933</v>
      </c>
      <c r="AD418" s="80"/>
      <c r="AE418" s="80" t="b">
        <v>0</v>
      </c>
      <c r="AF418" s="80">
        <v>0</v>
      </c>
      <c r="AG418" s="83" t="s">
        <v>952</v>
      </c>
      <c r="AH418" s="80" t="b">
        <v>0</v>
      </c>
      <c r="AI418" s="80" t="s">
        <v>967</v>
      </c>
      <c r="AJ418" s="80"/>
      <c r="AK418" s="83" t="s">
        <v>952</v>
      </c>
      <c r="AL418" s="80" t="b">
        <v>0</v>
      </c>
      <c r="AM418" s="80">
        <v>6</v>
      </c>
      <c r="AN418" s="83" t="s">
        <v>931</v>
      </c>
      <c r="AO418" s="83" t="s">
        <v>979</v>
      </c>
      <c r="AP418" s="80" t="b">
        <v>0</v>
      </c>
      <c r="AQ418" s="83" t="s">
        <v>931</v>
      </c>
      <c r="AR418" s="80" t="s">
        <v>196</v>
      </c>
      <c r="AS418" s="80">
        <v>0</v>
      </c>
      <c r="AT418" s="80">
        <v>0</v>
      </c>
      <c r="AU418" s="80"/>
      <c r="AV418" s="80"/>
      <c r="AW418" s="80"/>
      <c r="AX418" s="80"/>
      <c r="AY418" s="80"/>
      <c r="AZ418" s="80"/>
      <c r="BA418" s="80"/>
      <c r="BB418" s="80"/>
      <c r="BC418">
        <v>1</v>
      </c>
      <c r="BD418" s="79" t="str">
        <f>REPLACE(INDEX(GroupVertices[Group],MATCH(Edges[[#This Row],[Vertex 1]],GroupVertices[Vertex],0)),1,1,"")</f>
        <v>4</v>
      </c>
      <c r="BE418" s="79" t="str">
        <f>REPLACE(INDEX(GroupVertices[Group],MATCH(Edges[[#This Row],[Vertex 2]],GroupVertices[Vertex],0)),1,1,"")</f>
        <v>4</v>
      </c>
      <c r="BF418" s="49"/>
      <c r="BG418" s="50"/>
      <c r="BH418" s="49"/>
      <c r="BI418" s="50"/>
      <c r="BJ418" s="49"/>
      <c r="BK418" s="50"/>
      <c r="BL418" s="49"/>
      <c r="BM418" s="50"/>
      <c r="BN418" s="49"/>
    </row>
    <row r="419" spans="1:66" ht="15">
      <c r="A419" s="65" t="s">
        <v>362</v>
      </c>
      <c r="B419" s="65" t="s">
        <v>390</v>
      </c>
      <c r="C419" s="66" t="s">
        <v>2816</v>
      </c>
      <c r="D419" s="67">
        <v>6.5</v>
      </c>
      <c r="E419" s="66" t="s">
        <v>136</v>
      </c>
      <c r="F419" s="69">
        <v>28.75</v>
      </c>
      <c r="G419" s="66"/>
      <c r="H419" s="70"/>
      <c r="I419" s="71"/>
      <c r="J419" s="71"/>
      <c r="K419" s="35" t="s">
        <v>65</v>
      </c>
      <c r="L419" s="72">
        <v>419</v>
      </c>
      <c r="M419" s="72"/>
      <c r="N419" s="73"/>
      <c r="O419" s="80" t="s">
        <v>406</v>
      </c>
      <c r="P419" s="82">
        <v>44478.71666666667</v>
      </c>
      <c r="Q419" s="80" t="s">
        <v>454</v>
      </c>
      <c r="R419" s="85" t="str">
        <f>HYPERLINK("https://vegnews.com/2021/10/ashton-kutcher-cell-based-meat")</f>
        <v>https://vegnews.com/2021/10/ashton-kutcher-cell-based-meat</v>
      </c>
      <c r="S419" s="80" t="s">
        <v>532</v>
      </c>
      <c r="T419" s="83" t="s">
        <v>558</v>
      </c>
      <c r="U419" s="80"/>
      <c r="V419" s="85" t="str">
        <f>HYPERLINK("https://pbs.twimg.com/profile_images/1308856211597475840/X7PGunVx_normal.jpg")</f>
        <v>https://pbs.twimg.com/profile_images/1308856211597475840/X7PGunVx_normal.jpg</v>
      </c>
      <c r="W419" s="82">
        <v>44478.71666666667</v>
      </c>
      <c r="X419" s="87">
        <v>44478</v>
      </c>
      <c r="Y419" s="83" t="s">
        <v>744</v>
      </c>
      <c r="Z419" s="85" t="str">
        <f>HYPERLINK("https://twitter.com/vegnews/status/1446886176443539461")</f>
        <v>https://twitter.com/vegnews/status/1446886176443539461</v>
      </c>
      <c r="AA419" s="80"/>
      <c r="AB419" s="80"/>
      <c r="AC419" s="83" t="s">
        <v>931</v>
      </c>
      <c r="AD419" s="80"/>
      <c r="AE419" s="80" t="b">
        <v>0</v>
      </c>
      <c r="AF419" s="80">
        <v>37</v>
      </c>
      <c r="AG419" s="83" t="s">
        <v>952</v>
      </c>
      <c r="AH419" s="80" t="b">
        <v>0</v>
      </c>
      <c r="AI419" s="80" t="s">
        <v>967</v>
      </c>
      <c r="AJ419" s="80"/>
      <c r="AK419" s="83" t="s">
        <v>952</v>
      </c>
      <c r="AL419" s="80" t="b">
        <v>0</v>
      </c>
      <c r="AM419" s="80">
        <v>6</v>
      </c>
      <c r="AN419" s="83" t="s">
        <v>952</v>
      </c>
      <c r="AO419" s="83" t="s">
        <v>995</v>
      </c>
      <c r="AP419" s="80" t="b">
        <v>0</v>
      </c>
      <c r="AQ419" s="83" t="s">
        <v>931</v>
      </c>
      <c r="AR419" s="80" t="s">
        <v>196</v>
      </c>
      <c r="AS419" s="80">
        <v>0</v>
      </c>
      <c r="AT419" s="80">
        <v>0</v>
      </c>
      <c r="AU419" s="80"/>
      <c r="AV419" s="80"/>
      <c r="AW419" s="80"/>
      <c r="AX419" s="80"/>
      <c r="AY419" s="80"/>
      <c r="AZ419" s="80"/>
      <c r="BA419" s="80"/>
      <c r="BB419" s="80"/>
      <c r="BC419">
        <v>2</v>
      </c>
      <c r="BD419" s="79" t="str">
        <f>REPLACE(INDEX(GroupVertices[Group],MATCH(Edges[[#This Row],[Vertex 1]],GroupVertices[Vertex],0)),1,1,"")</f>
        <v>4</v>
      </c>
      <c r="BE419" s="79" t="str">
        <f>REPLACE(INDEX(GroupVertices[Group],MATCH(Edges[[#This Row],[Vertex 2]],GroupVertices[Vertex],0)),1,1,"")</f>
        <v>4</v>
      </c>
      <c r="BF419" s="49">
        <v>1</v>
      </c>
      <c r="BG419" s="50">
        <v>5.555555555555555</v>
      </c>
      <c r="BH419" s="49">
        <v>0</v>
      </c>
      <c r="BI419" s="50">
        <v>0</v>
      </c>
      <c r="BJ419" s="49">
        <v>0</v>
      </c>
      <c r="BK419" s="50">
        <v>0</v>
      </c>
      <c r="BL419" s="49">
        <v>17</v>
      </c>
      <c r="BM419" s="50">
        <v>94.44444444444444</v>
      </c>
      <c r="BN419" s="49">
        <v>18</v>
      </c>
    </row>
    <row r="420" spans="1:66" ht="15">
      <c r="A420" s="65" t="s">
        <v>362</v>
      </c>
      <c r="B420" s="65" t="s">
        <v>390</v>
      </c>
      <c r="C420" s="66" t="s">
        <v>2816</v>
      </c>
      <c r="D420" s="67">
        <v>6.5</v>
      </c>
      <c r="E420" s="66" t="s">
        <v>136</v>
      </c>
      <c r="F420" s="69">
        <v>28.75</v>
      </c>
      <c r="G420" s="66"/>
      <c r="H420" s="70"/>
      <c r="I420" s="71"/>
      <c r="J420" s="71"/>
      <c r="K420" s="35" t="s">
        <v>65</v>
      </c>
      <c r="L420" s="72">
        <v>420</v>
      </c>
      <c r="M420" s="72"/>
      <c r="N420" s="73"/>
      <c r="O420" s="80" t="s">
        <v>406</v>
      </c>
      <c r="P420" s="82">
        <v>44480.856944444444</v>
      </c>
      <c r="Q420" s="80" t="s">
        <v>507</v>
      </c>
      <c r="R420" s="85" t="str">
        <f>HYPERLINK("https://vegnews.com/2021/10/ashton-kutcher-cell-based-meat")</f>
        <v>https://vegnews.com/2021/10/ashton-kutcher-cell-based-meat</v>
      </c>
      <c r="S420" s="80" t="s">
        <v>532</v>
      </c>
      <c r="T420" s="83" t="s">
        <v>567</v>
      </c>
      <c r="U420" s="80"/>
      <c r="V420" s="85" t="str">
        <f>HYPERLINK("https://pbs.twimg.com/profile_images/1308856211597475840/X7PGunVx_normal.jpg")</f>
        <v>https://pbs.twimg.com/profile_images/1308856211597475840/X7PGunVx_normal.jpg</v>
      </c>
      <c r="W420" s="82">
        <v>44480.856944444444</v>
      </c>
      <c r="X420" s="87">
        <v>44480</v>
      </c>
      <c r="Y420" s="83" t="s">
        <v>745</v>
      </c>
      <c r="Z420" s="85" t="str">
        <f>HYPERLINK("https://twitter.com/vegnews/status/1447661786287771649")</f>
        <v>https://twitter.com/vegnews/status/1447661786287771649</v>
      </c>
      <c r="AA420" s="80"/>
      <c r="AB420" s="80"/>
      <c r="AC420" s="83" t="s">
        <v>932</v>
      </c>
      <c r="AD420" s="80"/>
      <c r="AE420" s="80" t="b">
        <v>0</v>
      </c>
      <c r="AF420" s="80">
        <v>13</v>
      </c>
      <c r="AG420" s="83" t="s">
        <v>952</v>
      </c>
      <c r="AH420" s="80" t="b">
        <v>0</v>
      </c>
      <c r="AI420" s="80" t="s">
        <v>967</v>
      </c>
      <c r="AJ420" s="80"/>
      <c r="AK420" s="83" t="s">
        <v>952</v>
      </c>
      <c r="AL420" s="80" t="b">
        <v>0</v>
      </c>
      <c r="AM420" s="80">
        <v>0</v>
      </c>
      <c r="AN420" s="83" t="s">
        <v>952</v>
      </c>
      <c r="AO420" s="83" t="s">
        <v>995</v>
      </c>
      <c r="AP420" s="80" t="b">
        <v>0</v>
      </c>
      <c r="AQ420" s="83" t="s">
        <v>932</v>
      </c>
      <c r="AR420" s="80" t="s">
        <v>196</v>
      </c>
      <c r="AS420" s="80">
        <v>0</v>
      </c>
      <c r="AT420" s="80">
        <v>0</v>
      </c>
      <c r="AU420" s="80"/>
      <c r="AV420" s="80"/>
      <c r="AW420" s="80"/>
      <c r="AX420" s="80"/>
      <c r="AY420" s="80"/>
      <c r="AZ420" s="80"/>
      <c r="BA420" s="80"/>
      <c r="BB420" s="80"/>
      <c r="BC420">
        <v>2</v>
      </c>
      <c r="BD420" s="79" t="str">
        <f>REPLACE(INDEX(GroupVertices[Group],MATCH(Edges[[#This Row],[Vertex 1]],GroupVertices[Vertex],0)),1,1,"")</f>
        <v>4</v>
      </c>
      <c r="BE420" s="79" t="str">
        <f>REPLACE(INDEX(GroupVertices[Group],MATCH(Edges[[#This Row],[Vertex 2]],GroupVertices[Vertex],0)),1,1,"")</f>
        <v>4</v>
      </c>
      <c r="BF420" s="49">
        <v>0</v>
      </c>
      <c r="BG420" s="50">
        <v>0</v>
      </c>
      <c r="BH420" s="49">
        <v>0</v>
      </c>
      <c r="BI420" s="50">
        <v>0</v>
      </c>
      <c r="BJ420" s="49">
        <v>0</v>
      </c>
      <c r="BK420" s="50">
        <v>0</v>
      </c>
      <c r="BL420" s="49">
        <v>22</v>
      </c>
      <c r="BM420" s="50">
        <v>100</v>
      </c>
      <c r="BN420" s="49">
        <v>22</v>
      </c>
    </row>
    <row r="421" spans="1:66" ht="15">
      <c r="A421" s="65" t="s">
        <v>363</v>
      </c>
      <c r="B421" s="65" t="s">
        <v>390</v>
      </c>
      <c r="C421" s="66" t="s">
        <v>2815</v>
      </c>
      <c r="D421" s="67">
        <v>3</v>
      </c>
      <c r="E421" s="66" t="s">
        <v>132</v>
      </c>
      <c r="F421" s="69">
        <v>32</v>
      </c>
      <c r="G421" s="66"/>
      <c r="H421" s="70"/>
      <c r="I421" s="71"/>
      <c r="J421" s="71"/>
      <c r="K421" s="35" t="s">
        <v>65</v>
      </c>
      <c r="L421" s="72">
        <v>421</v>
      </c>
      <c r="M421" s="72"/>
      <c r="N421" s="73"/>
      <c r="O421" s="80" t="s">
        <v>407</v>
      </c>
      <c r="P421" s="82">
        <v>44481.82710648148</v>
      </c>
      <c r="Q421" s="80" t="s">
        <v>454</v>
      </c>
      <c r="R421" s="85" t="str">
        <f>HYPERLINK("https://vegnews.com/2021/10/ashton-kutcher-cell-based-meat")</f>
        <v>https://vegnews.com/2021/10/ashton-kutcher-cell-based-meat</v>
      </c>
      <c r="S421" s="80" t="s">
        <v>532</v>
      </c>
      <c r="T421" s="83" t="s">
        <v>558</v>
      </c>
      <c r="U421" s="80"/>
      <c r="V421" s="85" t="str">
        <f>HYPERLINK("https://pbs.twimg.com/profile_images/1446755109124382720/ixL_-iTZ_normal.jpg")</f>
        <v>https://pbs.twimg.com/profile_images/1446755109124382720/ixL_-iTZ_normal.jpg</v>
      </c>
      <c r="W421" s="82">
        <v>44481.82710648148</v>
      </c>
      <c r="X421" s="87">
        <v>44481</v>
      </c>
      <c r="Y421" s="83" t="s">
        <v>746</v>
      </c>
      <c r="Z421" s="85" t="str">
        <f>HYPERLINK("https://twitter.com/sophiajennifer5/status/1448013361577345034")</f>
        <v>https://twitter.com/sophiajennifer5/status/1448013361577345034</v>
      </c>
      <c r="AA421" s="80"/>
      <c r="AB421" s="80"/>
      <c r="AC421" s="83" t="s">
        <v>933</v>
      </c>
      <c r="AD421" s="80"/>
      <c r="AE421" s="80" t="b">
        <v>0</v>
      </c>
      <c r="AF421" s="80">
        <v>0</v>
      </c>
      <c r="AG421" s="83" t="s">
        <v>952</v>
      </c>
      <c r="AH421" s="80" t="b">
        <v>0</v>
      </c>
      <c r="AI421" s="80" t="s">
        <v>967</v>
      </c>
      <c r="AJ421" s="80"/>
      <c r="AK421" s="83" t="s">
        <v>952</v>
      </c>
      <c r="AL421" s="80" t="b">
        <v>0</v>
      </c>
      <c r="AM421" s="80">
        <v>6</v>
      </c>
      <c r="AN421" s="83" t="s">
        <v>931</v>
      </c>
      <c r="AO421" s="83" t="s">
        <v>979</v>
      </c>
      <c r="AP421" s="80" t="b">
        <v>0</v>
      </c>
      <c r="AQ421" s="83" t="s">
        <v>931</v>
      </c>
      <c r="AR421" s="80" t="s">
        <v>196</v>
      </c>
      <c r="AS421" s="80">
        <v>0</v>
      </c>
      <c r="AT421" s="80">
        <v>0</v>
      </c>
      <c r="AU421" s="80"/>
      <c r="AV421" s="80"/>
      <c r="AW421" s="80"/>
      <c r="AX421" s="80"/>
      <c r="AY421" s="80"/>
      <c r="AZ421" s="80"/>
      <c r="BA421" s="80"/>
      <c r="BB421" s="80"/>
      <c r="BC421">
        <v>1</v>
      </c>
      <c r="BD421" s="79" t="str">
        <f>REPLACE(INDEX(GroupVertices[Group],MATCH(Edges[[#This Row],[Vertex 1]],GroupVertices[Vertex],0)),1,1,"")</f>
        <v>4</v>
      </c>
      <c r="BE421" s="79" t="str">
        <f>REPLACE(INDEX(GroupVertices[Group],MATCH(Edges[[#This Row],[Vertex 2]],GroupVertices[Vertex],0)),1,1,"")</f>
        <v>4</v>
      </c>
      <c r="BF421" s="49"/>
      <c r="BG421" s="50"/>
      <c r="BH421" s="49"/>
      <c r="BI421" s="50"/>
      <c r="BJ421" s="49"/>
      <c r="BK421" s="50"/>
      <c r="BL421" s="49"/>
      <c r="BM421" s="50"/>
      <c r="BN421" s="49"/>
    </row>
    <row r="422" spans="1:66" ht="15">
      <c r="A422" s="65" t="s">
        <v>363</v>
      </c>
      <c r="B422" s="65" t="s">
        <v>362</v>
      </c>
      <c r="C422" s="66" t="s">
        <v>2815</v>
      </c>
      <c r="D422" s="67">
        <v>3</v>
      </c>
      <c r="E422" s="66" t="s">
        <v>132</v>
      </c>
      <c r="F422" s="69">
        <v>32</v>
      </c>
      <c r="G422" s="66"/>
      <c r="H422" s="70"/>
      <c r="I422" s="71"/>
      <c r="J422" s="71"/>
      <c r="K422" s="35" t="s">
        <v>65</v>
      </c>
      <c r="L422" s="72">
        <v>422</v>
      </c>
      <c r="M422" s="72"/>
      <c r="N422" s="73"/>
      <c r="O422" s="80" t="s">
        <v>408</v>
      </c>
      <c r="P422" s="82">
        <v>44481.82710648148</v>
      </c>
      <c r="Q422" s="80" t="s">
        <v>454</v>
      </c>
      <c r="R422" s="85" t="str">
        <f>HYPERLINK("https://vegnews.com/2021/10/ashton-kutcher-cell-based-meat")</f>
        <v>https://vegnews.com/2021/10/ashton-kutcher-cell-based-meat</v>
      </c>
      <c r="S422" s="80" t="s">
        <v>532</v>
      </c>
      <c r="T422" s="83" t="s">
        <v>558</v>
      </c>
      <c r="U422" s="80"/>
      <c r="V422" s="85" t="str">
        <f>HYPERLINK("https://pbs.twimg.com/profile_images/1446755109124382720/ixL_-iTZ_normal.jpg")</f>
        <v>https://pbs.twimg.com/profile_images/1446755109124382720/ixL_-iTZ_normal.jpg</v>
      </c>
      <c r="W422" s="82">
        <v>44481.82710648148</v>
      </c>
      <c r="X422" s="87">
        <v>44481</v>
      </c>
      <c r="Y422" s="83" t="s">
        <v>746</v>
      </c>
      <c r="Z422" s="85" t="str">
        <f>HYPERLINK("https://twitter.com/sophiajennifer5/status/1448013361577345034")</f>
        <v>https://twitter.com/sophiajennifer5/status/1448013361577345034</v>
      </c>
      <c r="AA422" s="80"/>
      <c r="AB422" s="80"/>
      <c r="AC422" s="83" t="s">
        <v>933</v>
      </c>
      <c r="AD422" s="80"/>
      <c r="AE422" s="80" t="b">
        <v>0</v>
      </c>
      <c r="AF422" s="80">
        <v>0</v>
      </c>
      <c r="AG422" s="83" t="s">
        <v>952</v>
      </c>
      <c r="AH422" s="80" t="b">
        <v>0</v>
      </c>
      <c r="AI422" s="80" t="s">
        <v>967</v>
      </c>
      <c r="AJ422" s="80"/>
      <c r="AK422" s="83" t="s">
        <v>952</v>
      </c>
      <c r="AL422" s="80" t="b">
        <v>0</v>
      </c>
      <c r="AM422" s="80">
        <v>6</v>
      </c>
      <c r="AN422" s="83" t="s">
        <v>931</v>
      </c>
      <c r="AO422" s="83" t="s">
        <v>979</v>
      </c>
      <c r="AP422" s="80" t="b">
        <v>0</v>
      </c>
      <c r="AQ422" s="83" t="s">
        <v>931</v>
      </c>
      <c r="AR422" s="80" t="s">
        <v>196</v>
      </c>
      <c r="AS422" s="80">
        <v>0</v>
      </c>
      <c r="AT422" s="80">
        <v>0</v>
      </c>
      <c r="AU422" s="80"/>
      <c r="AV422" s="80"/>
      <c r="AW422" s="80"/>
      <c r="AX422" s="80"/>
      <c r="AY422" s="80"/>
      <c r="AZ422" s="80"/>
      <c r="BA422" s="80"/>
      <c r="BB422" s="80"/>
      <c r="BC422">
        <v>1</v>
      </c>
      <c r="BD422" s="79" t="str">
        <f>REPLACE(INDEX(GroupVertices[Group],MATCH(Edges[[#This Row],[Vertex 1]],GroupVertices[Vertex],0)),1,1,"")</f>
        <v>4</v>
      </c>
      <c r="BE422" s="79" t="str">
        <f>REPLACE(INDEX(GroupVertices[Group],MATCH(Edges[[#This Row],[Vertex 2]],GroupVertices[Vertex],0)),1,1,"")</f>
        <v>4</v>
      </c>
      <c r="BF422" s="49">
        <v>1</v>
      </c>
      <c r="BG422" s="50">
        <v>5.555555555555555</v>
      </c>
      <c r="BH422" s="49">
        <v>0</v>
      </c>
      <c r="BI422" s="50">
        <v>0</v>
      </c>
      <c r="BJ422" s="49">
        <v>0</v>
      </c>
      <c r="BK422" s="50">
        <v>0</v>
      </c>
      <c r="BL422" s="49">
        <v>17</v>
      </c>
      <c r="BM422" s="50">
        <v>94.44444444444444</v>
      </c>
      <c r="BN422" s="49">
        <v>18</v>
      </c>
    </row>
    <row r="423" spans="1:66" ht="15">
      <c r="A423" s="65" t="s">
        <v>364</v>
      </c>
      <c r="B423" s="65" t="s">
        <v>364</v>
      </c>
      <c r="C423" s="66" t="s">
        <v>2815</v>
      </c>
      <c r="D423" s="67">
        <v>3</v>
      </c>
      <c r="E423" s="66" t="s">
        <v>132</v>
      </c>
      <c r="F423" s="69">
        <v>32</v>
      </c>
      <c r="G423" s="66"/>
      <c r="H423" s="70"/>
      <c r="I423" s="71"/>
      <c r="J423" s="71"/>
      <c r="K423" s="35" t="s">
        <v>65</v>
      </c>
      <c r="L423" s="72">
        <v>423</v>
      </c>
      <c r="M423" s="72"/>
      <c r="N423" s="73"/>
      <c r="O423" s="80" t="s">
        <v>196</v>
      </c>
      <c r="P423" s="82">
        <v>44476.72951388889</v>
      </c>
      <c r="Q423" s="80" t="s">
        <v>500</v>
      </c>
      <c r="R423" s="85" t="str">
        <f>HYPERLINK("https://techcrunch.com/2021/09/27/new-age-meats-bites-into-25m-for-cultured-meat-product-line-development/?utm_content=buffer97d50&amp;utm_medium=social&amp;utm_source=twitter.com&amp;utm_campaign=buffer")</f>
        <v>https://techcrunch.com/2021/09/27/new-age-meats-bites-into-25m-for-cultured-meat-product-line-development/?utm_content=buffer97d50&amp;utm_medium=social&amp;utm_source=twitter.com&amp;utm_campaign=buffer</v>
      </c>
      <c r="S423" s="80" t="s">
        <v>544</v>
      </c>
      <c r="T423" s="83" t="s">
        <v>564</v>
      </c>
      <c r="U423" s="80"/>
      <c r="V423" s="85" t="str">
        <f>HYPERLINK("https://pbs.twimg.com/profile_images/1032774523739762694/6PxyeNw5_normal.jpg")</f>
        <v>https://pbs.twimg.com/profile_images/1032774523739762694/6PxyeNw5_normal.jpg</v>
      </c>
      <c r="W423" s="82">
        <v>44476.72951388889</v>
      </c>
      <c r="X423" s="87">
        <v>44476</v>
      </c>
      <c r="Y423" s="83" t="s">
        <v>747</v>
      </c>
      <c r="Z423" s="85" t="str">
        <f>HYPERLINK("https://twitter.com/cellagritech/status/1446166054363975690")</f>
        <v>https://twitter.com/cellagritech/status/1446166054363975690</v>
      </c>
      <c r="AA423" s="80"/>
      <c r="AB423" s="80"/>
      <c r="AC423" s="83" t="s">
        <v>934</v>
      </c>
      <c r="AD423" s="80"/>
      <c r="AE423" s="80" t="b">
        <v>0</v>
      </c>
      <c r="AF423" s="80">
        <v>2</v>
      </c>
      <c r="AG423" s="83" t="s">
        <v>952</v>
      </c>
      <c r="AH423" s="80" t="b">
        <v>0</v>
      </c>
      <c r="AI423" s="80" t="s">
        <v>967</v>
      </c>
      <c r="AJ423" s="80"/>
      <c r="AK423" s="83" t="s">
        <v>952</v>
      </c>
      <c r="AL423" s="80" t="b">
        <v>0</v>
      </c>
      <c r="AM423" s="80">
        <v>1</v>
      </c>
      <c r="AN423" s="83" t="s">
        <v>952</v>
      </c>
      <c r="AO423" s="83" t="s">
        <v>994</v>
      </c>
      <c r="AP423" s="80" t="b">
        <v>0</v>
      </c>
      <c r="AQ423" s="83" t="s">
        <v>934</v>
      </c>
      <c r="AR423" s="80" t="s">
        <v>196</v>
      </c>
      <c r="AS423" s="80">
        <v>0</v>
      </c>
      <c r="AT423" s="80">
        <v>0</v>
      </c>
      <c r="AU423" s="80"/>
      <c r="AV423" s="80"/>
      <c r="AW423" s="80"/>
      <c r="AX423" s="80"/>
      <c r="AY423" s="80"/>
      <c r="AZ423" s="80"/>
      <c r="BA423" s="80"/>
      <c r="BB423" s="80"/>
      <c r="BC423">
        <v>1</v>
      </c>
      <c r="BD423" s="79" t="str">
        <f>REPLACE(INDEX(GroupVertices[Group],MATCH(Edges[[#This Row],[Vertex 1]],GroupVertices[Vertex],0)),1,1,"")</f>
        <v>10</v>
      </c>
      <c r="BE423" s="79" t="str">
        <f>REPLACE(INDEX(GroupVertices[Group],MATCH(Edges[[#This Row],[Vertex 2]],GroupVertices[Vertex],0)),1,1,"")</f>
        <v>10</v>
      </c>
      <c r="BF423" s="49">
        <v>0</v>
      </c>
      <c r="BG423" s="50">
        <v>0</v>
      </c>
      <c r="BH423" s="49">
        <v>0</v>
      </c>
      <c r="BI423" s="50">
        <v>0</v>
      </c>
      <c r="BJ423" s="49">
        <v>0</v>
      </c>
      <c r="BK423" s="50">
        <v>0</v>
      </c>
      <c r="BL423" s="49">
        <v>29</v>
      </c>
      <c r="BM423" s="50">
        <v>100</v>
      </c>
      <c r="BN423" s="49">
        <v>29</v>
      </c>
    </row>
    <row r="424" spans="1:66" ht="15">
      <c r="A424" s="65" t="s">
        <v>364</v>
      </c>
      <c r="B424" s="65" t="s">
        <v>365</v>
      </c>
      <c r="C424" s="66" t="s">
        <v>2815</v>
      </c>
      <c r="D424" s="67">
        <v>3</v>
      </c>
      <c r="E424" s="66" t="s">
        <v>132</v>
      </c>
      <c r="F424" s="69">
        <v>32</v>
      </c>
      <c r="G424" s="66"/>
      <c r="H424" s="70"/>
      <c r="I424" s="71"/>
      <c r="J424" s="71"/>
      <c r="K424" s="35" t="s">
        <v>66</v>
      </c>
      <c r="L424" s="72">
        <v>424</v>
      </c>
      <c r="M424" s="72"/>
      <c r="N424" s="73"/>
      <c r="O424" s="80" t="s">
        <v>406</v>
      </c>
      <c r="P424" s="82">
        <v>44481.60445601852</v>
      </c>
      <c r="Q424" s="80" t="s">
        <v>502</v>
      </c>
      <c r="R424"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24" s="80" t="s">
        <v>546</v>
      </c>
      <c r="T424" s="83" t="s">
        <v>565</v>
      </c>
      <c r="U424" s="80"/>
      <c r="V424" s="85" t="str">
        <f>HYPERLINK("https://pbs.twimg.com/profile_images/1032774523739762694/6PxyeNw5_normal.jpg")</f>
        <v>https://pbs.twimg.com/profile_images/1032774523739762694/6PxyeNw5_normal.jpg</v>
      </c>
      <c r="W424" s="82">
        <v>44481.60445601852</v>
      </c>
      <c r="X424" s="87">
        <v>44481</v>
      </c>
      <c r="Y424" s="83" t="s">
        <v>748</v>
      </c>
      <c r="Z424" s="85" t="str">
        <f>HYPERLINK("https://twitter.com/cellagritech/status/1447932672630734849")</f>
        <v>https://twitter.com/cellagritech/status/1447932672630734849</v>
      </c>
      <c r="AA424" s="80"/>
      <c r="AB424" s="80"/>
      <c r="AC424" s="83" t="s">
        <v>935</v>
      </c>
      <c r="AD424" s="80"/>
      <c r="AE424" s="80" t="b">
        <v>0</v>
      </c>
      <c r="AF424" s="80">
        <v>5</v>
      </c>
      <c r="AG424" s="83" t="s">
        <v>952</v>
      </c>
      <c r="AH424" s="80" t="b">
        <v>0</v>
      </c>
      <c r="AI424" s="80" t="s">
        <v>967</v>
      </c>
      <c r="AJ424" s="80"/>
      <c r="AK424" s="83" t="s">
        <v>952</v>
      </c>
      <c r="AL424" s="80" t="b">
        <v>0</v>
      </c>
      <c r="AM424" s="80">
        <v>4</v>
      </c>
      <c r="AN424" s="83" t="s">
        <v>952</v>
      </c>
      <c r="AO424" s="83" t="s">
        <v>994</v>
      </c>
      <c r="AP424" s="80" t="b">
        <v>0</v>
      </c>
      <c r="AQ424" s="83" t="s">
        <v>935</v>
      </c>
      <c r="AR424" s="80" t="s">
        <v>196</v>
      </c>
      <c r="AS424" s="80">
        <v>0</v>
      </c>
      <c r="AT424" s="80">
        <v>0</v>
      </c>
      <c r="AU424" s="80"/>
      <c r="AV424" s="80"/>
      <c r="AW424" s="80"/>
      <c r="AX424" s="80"/>
      <c r="AY424" s="80"/>
      <c r="AZ424" s="80"/>
      <c r="BA424" s="80"/>
      <c r="BB424" s="80"/>
      <c r="BC424">
        <v>1</v>
      </c>
      <c r="BD424" s="79" t="str">
        <f>REPLACE(INDEX(GroupVertices[Group],MATCH(Edges[[#This Row],[Vertex 1]],GroupVertices[Vertex],0)),1,1,"")</f>
        <v>10</v>
      </c>
      <c r="BE424" s="79" t="str">
        <f>REPLACE(INDEX(GroupVertices[Group],MATCH(Edges[[#This Row],[Vertex 2]],GroupVertices[Vertex],0)),1,1,"")</f>
        <v>10</v>
      </c>
      <c r="BF424" s="49">
        <v>1</v>
      </c>
      <c r="BG424" s="50">
        <v>2.6315789473684212</v>
      </c>
      <c r="BH424" s="49">
        <v>0</v>
      </c>
      <c r="BI424" s="50">
        <v>0</v>
      </c>
      <c r="BJ424" s="49">
        <v>0</v>
      </c>
      <c r="BK424" s="50">
        <v>0</v>
      </c>
      <c r="BL424" s="49">
        <v>37</v>
      </c>
      <c r="BM424" s="50">
        <v>97.36842105263158</v>
      </c>
      <c r="BN424" s="49">
        <v>38</v>
      </c>
    </row>
    <row r="425" spans="1:66" ht="15">
      <c r="A425" s="65" t="s">
        <v>365</v>
      </c>
      <c r="B425" s="65" t="s">
        <v>364</v>
      </c>
      <c r="C425" s="66" t="s">
        <v>2815</v>
      </c>
      <c r="D425" s="67">
        <v>3</v>
      </c>
      <c r="E425" s="66" t="s">
        <v>132</v>
      </c>
      <c r="F425" s="69">
        <v>32</v>
      </c>
      <c r="G425" s="66"/>
      <c r="H425" s="70"/>
      <c r="I425" s="71"/>
      <c r="J425" s="71"/>
      <c r="K425" s="35" t="s">
        <v>66</v>
      </c>
      <c r="L425" s="72">
        <v>425</v>
      </c>
      <c r="M425" s="72"/>
      <c r="N425" s="73"/>
      <c r="O425" s="80" t="s">
        <v>408</v>
      </c>
      <c r="P425" s="82">
        <v>44481.90278935185</v>
      </c>
      <c r="Q425" s="80" t="s">
        <v>502</v>
      </c>
      <c r="R425"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425" s="80" t="s">
        <v>546</v>
      </c>
      <c r="T425" s="83" t="s">
        <v>565</v>
      </c>
      <c r="U425" s="80"/>
      <c r="V425" s="85" t="str">
        <f>HYPERLINK("https://pbs.twimg.com/profile_images/1334190529727303687/lyl9_7E6_normal.jpg")</f>
        <v>https://pbs.twimg.com/profile_images/1334190529727303687/lyl9_7E6_normal.jpg</v>
      </c>
      <c r="W425" s="82">
        <v>44481.90278935185</v>
      </c>
      <c r="X425" s="87">
        <v>44481</v>
      </c>
      <c r="Y425" s="83" t="s">
        <v>749</v>
      </c>
      <c r="Z425" s="85" t="str">
        <f>HYPERLINK("https://twitter.com/hoxtonfarms/status/1448040786025717764")</f>
        <v>https://twitter.com/hoxtonfarms/status/1448040786025717764</v>
      </c>
      <c r="AA425" s="80"/>
      <c r="AB425" s="80"/>
      <c r="AC425" s="83" t="s">
        <v>936</v>
      </c>
      <c r="AD425" s="80"/>
      <c r="AE425" s="80" t="b">
        <v>0</v>
      </c>
      <c r="AF425" s="80">
        <v>0</v>
      </c>
      <c r="AG425" s="83" t="s">
        <v>952</v>
      </c>
      <c r="AH425" s="80" t="b">
        <v>0</v>
      </c>
      <c r="AI425" s="80" t="s">
        <v>967</v>
      </c>
      <c r="AJ425" s="80"/>
      <c r="AK425" s="83" t="s">
        <v>952</v>
      </c>
      <c r="AL425" s="80" t="b">
        <v>0</v>
      </c>
      <c r="AM425" s="80">
        <v>4</v>
      </c>
      <c r="AN425" s="83" t="s">
        <v>935</v>
      </c>
      <c r="AO425" s="83" t="s">
        <v>979</v>
      </c>
      <c r="AP425" s="80" t="b">
        <v>0</v>
      </c>
      <c r="AQ425" s="83" t="s">
        <v>935</v>
      </c>
      <c r="AR425" s="80" t="s">
        <v>196</v>
      </c>
      <c r="AS425" s="80">
        <v>0</v>
      </c>
      <c r="AT425" s="80">
        <v>0</v>
      </c>
      <c r="AU425" s="80"/>
      <c r="AV425" s="80"/>
      <c r="AW425" s="80"/>
      <c r="AX425" s="80"/>
      <c r="AY425" s="80"/>
      <c r="AZ425" s="80"/>
      <c r="BA425" s="80"/>
      <c r="BB425" s="80"/>
      <c r="BC425">
        <v>1</v>
      </c>
      <c r="BD425" s="79" t="str">
        <f>REPLACE(INDEX(GroupVertices[Group],MATCH(Edges[[#This Row],[Vertex 1]],GroupVertices[Vertex],0)),1,1,"")</f>
        <v>10</v>
      </c>
      <c r="BE425" s="79" t="str">
        <f>REPLACE(INDEX(GroupVertices[Group],MATCH(Edges[[#This Row],[Vertex 2]],GroupVertices[Vertex],0)),1,1,"")</f>
        <v>10</v>
      </c>
      <c r="BF425" s="49">
        <v>1</v>
      </c>
      <c r="BG425" s="50">
        <v>2.6315789473684212</v>
      </c>
      <c r="BH425" s="49">
        <v>0</v>
      </c>
      <c r="BI425" s="50">
        <v>0</v>
      </c>
      <c r="BJ425" s="49">
        <v>0</v>
      </c>
      <c r="BK425" s="50">
        <v>0</v>
      </c>
      <c r="BL425" s="49">
        <v>37</v>
      </c>
      <c r="BM425" s="50">
        <v>97.36842105263158</v>
      </c>
      <c r="BN425"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5"/>
    <dataValidation allowBlank="1" showErrorMessage="1" sqref="N2:N4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5"/>
    <dataValidation allowBlank="1" showInputMessage="1" promptTitle="Edge Color" prompt="To select an optional edge color, right-click and select Select Color on the right-click menu." sqref="C3:C425"/>
    <dataValidation allowBlank="1" showInputMessage="1" promptTitle="Edge Width" prompt="Enter an optional edge width between 1 and 10." errorTitle="Invalid Edge Width" error="The optional edge width must be a whole number between 1 and 10." sqref="D3:D425"/>
    <dataValidation allowBlank="1" showInputMessage="1" promptTitle="Edge Opacity" prompt="Enter an optional edge opacity between 0 (transparent) and 100 (opaque)." errorTitle="Invalid Edge Opacity" error="The optional edge opacity must be a whole number between 0 and 10." sqref="F3:F4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5">
      <formula1>ValidEdgeVisibilities</formula1>
    </dataValidation>
    <dataValidation allowBlank="1" showInputMessage="1" showErrorMessage="1" promptTitle="Vertex 1 Name" prompt="Enter the name of the edge's first vertex." sqref="A3:A425"/>
    <dataValidation allowBlank="1" showInputMessage="1" showErrorMessage="1" promptTitle="Vertex 2 Name" prompt="Enter the name of the edge's second vertex." sqref="B3:B425"/>
    <dataValidation allowBlank="1" showInputMessage="1" showErrorMessage="1" promptTitle="Edge Label" prompt="Enter an optional edge label." errorTitle="Invalid Edge Visibility" error="You have entered an unrecognized edge visibility.  Try selecting from the drop-down list instead." sqref="H3:H4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AC58-E30A-45F7-BBFD-D085544ADD83}">
  <dimension ref="A1:L8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2718</v>
      </c>
      <c r="B1" s="13" t="s">
        <v>2719</v>
      </c>
      <c r="C1" s="13" t="s">
        <v>2709</v>
      </c>
      <c r="D1" s="13" t="s">
        <v>2713</v>
      </c>
      <c r="E1" s="13" t="s">
        <v>2720</v>
      </c>
      <c r="F1" s="13" t="s">
        <v>144</v>
      </c>
      <c r="G1" s="13" t="s">
        <v>2721</v>
      </c>
      <c r="H1" s="13" t="s">
        <v>2722</v>
      </c>
      <c r="I1" s="13" t="s">
        <v>2723</v>
      </c>
      <c r="J1" s="13" t="s">
        <v>2724</v>
      </c>
      <c r="K1" s="13" t="s">
        <v>2725</v>
      </c>
      <c r="L1" s="13" t="s">
        <v>2726</v>
      </c>
    </row>
    <row r="2" spans="1:12" ht="15">
      <c r="A2" s="88" t="s">
        <v>1965</v>
      </c>
      <c r="B2" s="88" t="s">
        <v>1944</v>
      </c>
      <c r="C2" s="88">
        <v>130</v>
      </c>
      <c r="D2" s="110">
        <v>0.006302300815510798</v>
      </c>
      <c r="E2" s="110">
        <v>1.1252912348862774</v>
      </c>
      <c r="F2" s="88" t="s">
        <v>2714</v>
      </c>
      <c r="G2" s="88" t="b">
        <v>0</v>
      </c>
      <c r="H2" s="88" t="b">
        <v>0</v>
      </c>
      <c r="I2" s="88" t="b">
        <v>0</v>
      </c>
      <c r="J2" s="88" t="b">
        <v>0</v>
      </c>
      <c r="K2" s="88" t="b">
        <v>0</v>
      </c>
      <c r="L2" s="88" t="b">
        <v>0</v>
      </c>
    </row>
    <row r="3" spans="1:12" ht="15">
      <c r="A3" s="83" t="s">
        <v>1964</v>
      </c>
      <c r="B3" s="88" t="s">
        <v>1965</v>
      </c>
      <c r="C3" s="88">
        <v>80</v>
      </c>
      <c r="D3" s="110">
        <v>0.008715880833791736</v>
      </c>
      <c r="E3" s="110">
        <v>0.9749694015029317</v>
      </c>
      <c r="F3" s="88" t="s">
        <v>2714</v>
      </c>
      <c r="G3" s="88" t="b">
        <v>0</v>
      </c>
      <c r="H3" s="88" t="b">
        <v>0</v>
      </c>
      <c r="I3" s="88" t="b">
        <v>0</v>
      </c>
      <c r="J3" s="88" t="b">
        <v>0</v>
      </c>
      <c r="K3" s="88" t="b">
        <v>0</v>
      </c>
      <c r="L3" s="88" t="b">
        <v>0</v>
      </c>
    </row>
    <row r="4" spans="1:12" ht="15">
      <c r="A4" s="83" t="s">
        <v>1970</v>
      </c>
      <c r="B4" s="88" t="s">
        <v>1965</v>
      </c>
      <c r="C4" s="88">
        <v>77</v>
      </c>
      <c r="D4" s="110">
        <v>0.008637853102106168</v>
      </c>
      <c r="E4" s="110">
        <v>1.302328335889262</v>
      </c>
      <c r="F4" s="88" t="s">
        <v>2714</v>
      </c>
      <c r="G4" s="88" t="b">
        <v>0</v>
      </c>
      <c r="H4" s="88" t="b">
        <v>0</v>
      </c>
      <c r="I4" s="88" t="b">
        <v>0</v>
      </c>
      <c r="J4" s="88" t="b">
        <v>0</v>
      </c>
      <c r="K4" s="88" t="b">
        <v>0</v>
      </c>
      <c r="L4" s="88" t="b">
        <v>0</v>
      </c>
    </row>
    <row r="5" spans="1:12" ht="15">
      <c r="A5" s="83" t="s">
        <v>1968</v>
      </c>
      <c r="B5" s="88" t="s">
        <v>1969</v>
      </c>
      <c r="C5" s="88">
        <v>71</v>
      </c>
      <c r="D5" s="110">
        <v>0.008442581652540877</v>
      </c>
      <c r="E5" s="110">
        <v>1.5701231817720334</v>
      </c>
      <c r="F5" s="88" t="s">
        <v>2714</v>
      </c>
      <c r="G5" s="88" t="b">
        <v>0</v>
      </c>
      <c r="H5" s="88" t="b">
        <v>0</v>
      </c>
      <c r="I5" s="88" t="b">
        <v>0</v>
      </c>
      <c r="J5" s="88" t="b">
        <v>0</v>
      </c>
      <c r="K5" s="88" t="b">
        <v>0</v>
      </c>
      <c r="L5" s="88" t="b">
        <v>0</v>
      </c>
    </row>
    <row r="6" spans="1:12" ht="15">
      <c r="A6" s="83" t="s">
        <v>1964</v>
      </c>
      <c r="B6" s="88" t="s">
        <v>1967</v>
      </c>
      <c r="C6" s="88">
        <v>69</v>
      </c>
      <c r="D6" s="110">
        <v>0.008570527530191724</v>
      </c>
      <c r="E6" s="110">
        <v>1.174403584074733</v>
      </c>
      <c r="F6" s="88" t="s">
        <v>2714</v>
      </c>
      <c r="G6" s="88" t="b">
        <v>0</v>
      </c>
      <c r="H6" s="88" t="b">
        <v>0</v>
      </c>
      <c r="I6" s="88" t="b">
        <v>0</v>
      </c>
      <c r="J6" s="88" t="b">
        <v>0</v>
      </c>
      <c r="K6" s="88" t="b">
        <v>0</v>
      </c>
      <c r="L6" s="88" t="b">
        <v>0</v>
      </c>
    </row>
    <row r="7" spans="1:12" ht="15">
      <c r="A7" s="83" t="s">
        <v>1944</v>
      </c>
      <c r="B7" s="88" t="s">
        <v>1968</v>
      </c>
      <c r="C7" s="88">
        <v>67</v>
      </c>
      <c r="D7" s="110">
        <v>0.008443985257842821</v>
      </c>
      <c r="E7" s="110">
        <v>1.1593333621554722</v>
      </c>
      <c r="F7" s="88" t="s">
        <v>2714</v>
      </c>
      <c r="G7" s="88" t="b">
        <v>0</v>
      </c>
      <c r="H7" s="88" t="b">
        <v>0</v>
      </c>
      <c r="I7" s="88" t="b">
        <v>0</v>
      </c>
      <c r="J7" s="88" t="b">
        <v>0</v>
      </c>
      <c r="K7" s="88" t="b">
        <v>0</v>
      </c>
      <c r="L7" s="88" t="b">
        <v>0</v>
      </c>
    </row>
    <row r="8" spans="1:12" ht="15">
      <c r="A8" s="83" t="s">
        <v>1971</v>
      </c>
      <c r="B8" s="88" t="s">
        <v>1972</v>
      </c>
      <c r="C8" s="88">
        <v>66</v>
      </c>
      <c r="D8" s="110">
        <v>0.008439820832809048</v>
      </c>
      <c r="E8" s="110">
        <v>1.594775157285776</v>
      </c>
      <c r="F8" s="88" t="s">
        <v>2714</v>
      </c>
      <c r="G8" s="88" t="b">
        <v>0</v>
      </c>
      <c r="H8" s="88" t="b">
        <v>0</v>
      </c>
      <c r="I8" s="88" t="b">
        <v>0</v>
      </c>
      <c r="J8" s="88" t="b">
        <v>0</v>
      </c>
      <c r="K8" s="88" t="b">
        <v>0</v>
      </c>
      <c r="L8" s="88" t="b">
        <v>0</v>
      </c>
    </row>
    <row r="9" spans="1:12" ht="15">
      <c r="A9" s="83" t="s">
        <v>1974</v>
      </c>
      <c r="B9" s="88" t="s">
        <v>378</v>
      </c>
      <c r="C9" s="88">
        <v>64</v>
      </c>
      <c r="D9" s="110">
        <v>0.008425881957412257</v>
      </c>
      <c r="E9" s="110">
        <v>1.7188648330529581</v>
      </c>
      <c r="F9" s="88" t="s">
        <v>2714</v>
      </c>
      <c r="G9" s="88" t="b">
        <v>0</v>
      </c>
      <c r="H9" s="88" t="b">
        <v>0</v>
      </c>
      <c r="I9" s="88" t="b">
        <v>0</v>
      </c>
      <c r="J9" s="88" t="b">
        <v>0</v>
      </c>
      <c r="K9" s="88" t="b">
        <v>0</v>
      </c>
      <c r="L9" s="88" t="b">
        <v>0</v>
      </c>
    </row>
    <row r="10" spans="1:12" ht="15">
      <c r="A10" s="83" t="s">
        <v>378</v>
      </c>
      <c r="B10" s="88" t="s">
        <v>1971</v>
      </c>
      <c r="C10" s="88">
        <v>64</v>
      </c>
      <c r="D10" s="110">
        <v>0.008425881957412257</v>
      </c>
      <c r="E10" s="110">
        <v>1.67378645831777</v>
      </c>
      <c r="F10" s="88" t="s">
        <v>2714</v>
      </c>
      <c r="G10" s="88" t="b">
        <v>0</v>
      </c>
      <c r="H10" s="88" t="b">
        <v>0</v>
      </c>
      <c r="I10" s="88" t="b">
        <v>0</v>
      </c>
      <c r="J10" s="88" t="b">
        <v>0</v>
      </c>
      <c r="K10" s="88" t="b">
        <v>0</v>
      </c>
      <c r="L10" s="88" t="b">
        <v>0</v>
      </c>
    </row>
    <row r="11" spans="1:12" ht="15">
      <c r="A11" s="83" t="s">
        <v>1972</v>
      </c>
      <c r="B11" s="88" t="s">
        <v>1970</v>
      </c>
      <c r="C11" s="88">
        <v>64</v>
      </c>
      <c r="D11" s="110">
        <v>0.008425881957412257</v>
      </c>
      <c r="E11" s="110">
        <v>1.5874015594169821</v>
      </c>
      <c r="F11" s="88" t="s">
        <v>2714</v>
      </c>
      <c r="G11" s="88" t="b">
        <v>0</v>
      </c>
      <c r="H11" s="88" t="b">
        <v>0</v>
      </c>
      <c r="I11" s="88" t="b">
        <v>0</v>
      </c>
      <c r="J11" s="88" t="b">
        <v>0</v>
      </c>
      <c r="K11" s="88" t="b">
        <v>0</v>
      </c>
      <c r="L11" s="88" t="b">
        <v>0</v>
      </c>
    </row>
    <row r="12" spans="1:12" ht="15">
      <c r="A12" s="83" t="s">
        <v>1969</v>
      </c>
      <c r="B12" s="88" t="s">
        <v>331</v>
      </c>
      <c r="C12" s="88">
        <v>64</v>
      </c>
      <c r="D12" s="110">
        <v>0.008425881957412257</v>
      </c>
      <c r="E12" s="110">
        <v>1.6219548200449017</v>
      </c>
      <c r="F12" s="88" t="s">
        <v>2714</v>
      </c>
      <c r="G12" s="88" t="b">
        <v>0</v>
      </c>
      <c r="H12" s="88" t="b">
        <v>0</v>
      </c>
      <c r="I12" s="88" t="b">
        <v>0</v>
      </c>
      <c r="J12" s="88" t="b">
        <v>0</v>
      </c>
      <c r="K12" s="88" t="b">
        <v>0</v>
      </c>
      <c r="L12" s="88" t="b">
        <v>0</v>
      </c>
    </row>
    <row r="13" spans="1:12" ht="15">
      <c r="A13" s="83" t="s">
        <v>331</v>
      </c>
      <c r="B13" s="88" t="s">
        <v>2428</v>
      </c>
      <c r="C13" s="88">
        <v>64</v>
      </c>
      <c r="D13" s="110">
        <v>0.008425881957412257</v>
      </c>
      <c r="E13" s="110">
        <v>1.7188648330529581</v>
      </c>
      <c r="F13" s="88" t="s">
        <v>2714</v>
      </c>
      <c r="G13" s="88" t="b">
        <v>0</v>
      </c>
      <c r="H13" s="88" t="b">
        <v>0</v>
      </c>
      <c r="I13" s="88" t="b">
        <v>0</v>
      </c>
      <c r="J13" s="88" t="b">
        <v>0</v>
      </c>
      <c r="K13" s="88" t="b">
        <v>0</v>
      </c>
      <c r="L13" s="88" t="b">
        <v>0</v>
      </c>
    </row>
    <row r="14" spans="1:12" ht="15">
      <c r="A14" s="83" t="s">
        <v>2428</v>
      </c>
      <c r="B14" s="88" t="s">
        <v>2429</v>
      </c>
      <c r="C14" s="88">
        <v>64</v>
      </c>
      <c r="D14" s="110">
        <v>0.008425881957412257</v>
      </c>
      <c r="E14" s="110">
        <v>1.7188648330529581</v>
      </c>
      <c r="F14" s="88" t="s">
        <v>2714</v>
      </c>
      <c r="G14" s="88" t="b">
        <v>0</v>
      </c>
      <c r="H14" s="88" t="b">
        <v>0</v>
      </c>
      <c r="I14" s="88" t="b">
        <v>0</v>
      </c>
      <c r="J14" s="88" t="b">
        <v>0</v>
      </c>
      <c r="K14" s="88" t="b">
        <v>0</v>
      </c>
      <c r="L14" s="88" t="b">
        <v>0</v>
      </c>
    </row>
    <row r="15" spans="1:12" ht="15">
      <c r="A15" s="83" t="s">
        <v>2429</v>
      </c>
      <c r="B15" s="88" t="s">
        <v>2430</v>
      </c>
      <c r="C15" s="88">
        <v>64</v>
      </c>
      <c r="D15" s="110">
        <v>0.008425881957412257</v>
      </c>
      <c r="E15" s="110">
        <v>1.7188648330529581</v>
      </c>
      <c r="F15" s="88" t="s">
        <v>2714</v>
      </c>
      <c r="G15" s="88" t="b">
        <v>0</v>
      </c>
      <c r="H15" s="88" t="b">
        <v>0</v>
      </c>
      <c r="I15" s="88" t="b">
        <v>0</v>
      </c>
      <c r="J15" s="88" t="b">
        <v>0</v>
      </c>
      <c r="K15" s="88" t="b">
        <v>0</v>
      </c>
      <c r="L15" s="88" t="b">
        <v>0</v>
      </c>
    </row>
    <row r="16" spans="1:12" ht="15">
      <c r="A16" s="83" t="s">
        <v>2430</v>
      </c>
      <c r="B16" s="88" t="s">
        <v>1966</v>
      </c>
      <c r="C16" s="88">
        <v>64</v>
      </c>
      <c r="D16" s="110">
        <v>0.008425881957412257</v>
      </c>
      <c r="E16" s="110">
        <v>1.407773511381081</v>
      </c>
      <c r="F16" s="88" t="s">
        <v>2714</v>
      </c>
      <c r="G16" s="88" t="b">
        <v>0</v>
      </c>
      <c r="H16" s="88" t="b">
        <v>0</v>
      </c>
      <c r="I16" s="88" t="b">
        <v>0</v>
      </c>
      <c r="J16" s="88" t="b">
        <v>0</v>
      </c>
      <c r="K16" s="88" t="b">
        <v>0</v>
      </c>
      <c r="L16" s="88" t="b">
        <v>0</v>
      </c>
    </row>
    <row r="17" spans="1:12" ht="15">
      <c r="A17" s="83" t="s">
        <v>1966</v>
      </c>
      <c r="B17" s="88" t="s">
        <v>1964</v>
      </c>
      <c r="C17" s="88">
        <v>64</v>
      </c>
      <c r="D17" s="110">
        <v>0.008425881957412257</v>
      </c>
      <c r="E17" s="110">
        <v>1.2408961741973101</v>
      </c>
      <c r="F17" s="88" t="s">
        <v>2714</v>
      </c>
      <c r="G17" s="88" t="b">
        <v>0</v>
      </c>
      <c r="H17" s="88" t="b">
        <v>0</v>
      </c>
      <c r="I17" s="88" t="b">
        <v>0</v>
      </c>
      <c r="J17" s="88" t="b">
        <v>0</v>
      </c>
      <c r="K17" s="88" t="b">
        <v>0</v>
      </c>
      <c r="L17" s="88" t="b">
        <v>0</v>
      </c>
    </row>
    <row r="18" spans="1:12" ht="15">
      <c r="A18" s="83" t="s">
        <v>1967</v>
      </c>
      <c r="B18" s="88" t="s">
        <v>2426</v>
      </c>
      <c r="C18" s="88">
        <v>64</v>
      </c>
      <c r="D18" s="110">
        <v>0.008425881957412257</v>
      </c>
      <c r="E18" s="110">
        <v>1.527085348685382</v>
      </c>
      <c r="F18" s="88" t="s">
        <v>2714</v>
      </c>
      <c r="G18" s="88" t="b">
        <v>0</v>
      </c>
      <c r="H18" s="88" t="b">
        <v>0</v>
      </c>
      <c r="I18" s="88" t="b">
        <v>0</v>
      </c>
      <c r="J18" s="88" t="b">
        <v>0</v>
      </c>
      <c r="K18" s="88" t="b">
        <v>0</v>
      </c>
      <c r="L18" s="88" t="b">
        <v>0</v>
      </c>
    </row>
    <row r="19" spans="1:12" ht="15">
      <c r="A19" s="83" t="s">
        <v>2431</v>
      </c>
      <c r="B19" s="88" t="s">
        <v>2427</v>
      </c>
      <c r="C19" s="88">
        <v>64</v>
      </c>
      <c r="D19" s="110">
        <v>0.008425881957412257</v>
      </c>
      <c r="E19" s="110">
        <v>1.7121314503939897</v>
      </c>
      <c r="F19" s="88" t="s">
        <v>2714</v>
      </c>
      <c r="G19" s="88" t="b">
        <v>0</v>
      </c>
      <c r="H19" s="88" t="b">
        <v>0</v>
      </c>
      <c r="I19" s="88" t="b">
        <v>0</v>
      </c>
      <c r="J19" s="88" t="b">
        <v>0</v>
      </c>
      <c r="K19" s="88" t="b">
        <v>0</v>
      </c>
      <c r="L19" s="88" t="b">
        <v>0</v>
      </c>
    </row>
    <row r="20" spans="1:12" ht="15">
      <c r="A20" s="83" t="s">
        <v>2427</v>
      </c>
      <c r="B20" s="88" t="s">
        <v>2432</v>
      </c>
      <c r="C20" s="88">
        <v>64</v>
      </c>
      <c r="D20" s="110">
        <v>0.008425881957412257</v>
      </c>
      <c r="E20" s="110">
        <v>1.7121314503939897</v>
      </c>
      <c r="F20" s="88" t="s">
        <v>2714</v>
      </c>
      <c r="G20" s="88" t="b">
        <v>0</v>
      </c>
      <c r="H20" s="88" t="b">
        <v>0</v>
      </c>
      <c r="I20" s="88" t="b">
        <v>0</v>
      </c>
      <c r="J20" s="88" t="b">
        <v>0</v>
      </c>
      <c r="K20" s="88" t="b">
        <v>0</v>
      </c>
      <c r="L20" s="88" t="b">
        <v>0</v>
      </c>
    </row>
    <row r="21" spans="1:12" ht="15">
      <c r="A21" s="83" t="s">
        <v>2432</v>
      </c>
      <c r="B21" s="88" t="s">
        <v>1966</v>
      </c>
      <c r="C21" s="88">
        <v>64</v>
      </c>
      <c r="D21" s="110">
        <v>0.008425881957412257</v>
      </c>
      <c r="E21" s="110">
        <v>1.407773511381081</v>
      </c>
      <c r="F21" s="88" t="s">
        <v>2714</v>
      </c>
      <c r="G21" s="88" t="b">
        <v>0</v>
      </c>
      <c r="H21" s="88" t="b">
        <v>0</v>
      </c>
      <c r="I21" s="88" t="b">
        <v>0</v>
      </c>
      <c r="J21" s="88" t="b">
        <v>0</v>
      </c>
      <c r="K21" s="88" t="b">
        <v>0</v>
      </c>
      <c r="L21" s="88" t="b">
        <v>0</v>
      </c>
    </row>
    <row r="22" spans="1:12" ht="15">
      <c r="A22" s="83" t="s">
        <v>2426</v>
      </c>
      <c r="B22" s="88" t="s">
        <v>377</v>
      </c>
      <c r="C22" s="88">
        <v>63</v>
      </c>
      <c r="D22" s="110">
        <v>0.008416049362800054</v>
      </c>
      <c r="E22" s="110">
        <v>1.6799467670225885</v>
      </c>
      <c r="F22" s="88" t="s">
        <v>2714</v>
      </c>
      <c r="G22" s="88" t="b">
        <v>0</v>
      </c>
      <c r="H22" s="88" t="b">
        <v>0</v>
      </c>
      <c r="I22" s="88" t="b">
        <v>0</v>
      </c>
      <c r="J22" s="88" t="b">
        <v>0</v>
      </c>
      <c r="K22" s="88" t="b">
        <v>0</v>
      </c>
      <c r="L22" s="88" t="b">
        <v>0</v>
      </c>
    </row>
    <row r="23" spans="1:12" ht="15">
      <c r="A23" s="83" t="s">
        <v>377</v>
      </c>
      <c r="B23" s="88" t="s">
        <v>2431</v>
      </c>
      <c r="C23" s="88">
        <v>63</v>
      </c>
      <c r="D23" s="110">
        <v>0.008416049362800054</v>
      </c>
      <c r="E23" s="110">
        <v>1.7188648330529581</v>
      </c>
      <c r="F23" s="88" t="s">
        <v>2714</v>
      </c>
      <c r="G23" s="88" t="b">
        <v>0</v>
      </c>
      <c r="H23" s="88" t="b">
        <v>0</v>
      </c>
      <c r="I23" s="88" t="b">
        <v>0</v>
      </c>
      <c r="J23" s="88" t="b">
        <v>0</v>
      </c>
      <c r="K23" s="88" t="b">
        <v>0</v>
      </c>
      <c r="L23" s="88" t="b">
        <v>0</v>
      </c>
    </row>
    <row r="24" spans="1:12" ht="15">
      <c r="A24" s="83" t="s">
        <v>1967</v>
      </c>
      <c r="B24" s="88" t="s">
        <v>1944</v>
      </c>
      <c r="C24" s="88">
        <v>16</v>
      </c>
      <c r="D24" s="110">
        <v>0.005092286438714214</v>
      </c>
      <c r="E24" s="110">
        <v>0.47127032096196975</v>
      </c>
      <c r="F24" s="88" t="s">
        <v>2714</v>
      </c>
      <c r="G24" s="88" t="b">
        <v>0</v>
      </c>
      <c r="H24" s="88" t="b">
        <v>0</v>
      </c>
      <c r="I24" s="88" t="b">
        <v>0</v>
      </c>
      <c r="J24" s="88" t="b">
        <v>0</v>
      </c>
      <c r="K24" s="88" t="b">
        <v>0</v>
      </c>
      <c r="L24" s="88" t="b">
        <v>0</v>
      </c>
    </row>
    <row r="25" spans="1:12" ht="15">
      <c r="A25" s="83" t="s">
        <v>1944</v>
      </c>
      <c r="B25" s="88" t="s">
        <v>1978</v>
      </c>
      <c r="C25" s="88">
        <v>14</v>
      </c>
      <c r="D25" s="110">
        <v>0.004455750633874937</v>
      </c>
      <c r="E25" s="110">
        <v>1.1091180130587046</v>
      </c>
      <c r="F25" s="88" t="s">
        <v>2714</v>
      </c>
      <c r="G25" s="88" t="b">
        <v>0</v>
      </c>
      <c r="H25" s="88" t="b">
        <v>0</v>
      </c>
      <c r="I25" s="88" t="b">
        <v>0</v>
      </c>
      <c r="J25" s="88" t="b">
        <v>0</v>
      </c>
      <c r="K25" s="88" t="b">
        <v>0</v>
      </c>
      <c r="L25" s="88" t="b">
        <v>0</v>
      </c>
    </row>
    <row r="26" spans="1:12" ht="15">
      <c r="A26" s="83" t="s">
        <v>1979</v>
      </c>
      <c r="B26" s="88" t="s">
        <v>1980</v>
      </c>
      <c r="C26" s="88">
        <v>14</v>
      </c>
      <c r="D26" s="110">
        <v>0.004455750633874937</v>
      </c>
      <c r="E26" s="110">
        <v>2.182622126214639</v>
      </c>
      <c r="F26" s="88" t="s">
        <v>2714</v>
      </c>
      <c r="G26" s="88" t="b">
        <v>0</v>
      </c>
      <c r="H26" s="88" t="b">
        <v>0</v>
      </c>
      <c r="I26" s="88" t="b">
        <v>0</v>
      </c>
      <c r="J26" s="88" t="b">
        <v>0</v>
      </c>
      <c r="K26" s="88" t="b">
        <v>0</v>
      </c>
      <c r="L26" s="88" t="b">
        <v>0</v>
      </c>
    </row>
    <row r="27" spans="1:12" ht="15">
      <c r="A27" s="83" t="s">
        <v>1976</v>
      </c>
      <c r="B27" s="88" t="s">
        <v>1977</v>
      </c>
      <c r="C27" s="88">
        <v>12</v>
      </c>
      <c r="D27" s="110">
        <v>0.004046345582659454</v>
      </c>
      <c r="E27" s="110">
        <v>2.4458635609892205</v>
      </c>
      <c r="F27" s="88" t="s">
        <v>2714</v>
      </c>
      <c r="G27" s="88" t="b">
        <v>0</v>
      </c>
      <c r="H27" s="88" t="b">
        <v>0</v>
      </c>
      <c r="I27" s="88" t="b">
        <v>0</v>
      </c>
      <c r="J27" s="88" t="b">
        <v>0</v>
      </c>
      <c r="K27" s="88" t="b">
        <v>0</v>
      </c>
      <c r="L27" s="88" t="b">
        <v>0</v>
      </c>
    </row>
    <row r="28" spans="1:12" ht="15">
      <c r="A28" s="83" t="s">
        <v>1992</v>
      </c>
      <c r="B28" s="88" t="s">
        <v>1993</v>
      </c>
      <c r="C28" s="88">
        <v>11</v>
      </c>
      <c r="D28" s="110">
        <v>0.003826671793938652</v>
      </c>
      <c r="E28" s="110">
        <v>2.3789167713586075</v>
      </c>
      <c r="F28" s="88" t="s">
        <v>2714</v>
      </c>
      <c r="G28" s="88" t="b">
        <v>0</v>
      </c>
      <c r="H28" s="88" t="b">
        <v>0</v>
      </c>
      <c r="I28" s="88" t="b">
        <v>0</v>
      </c>
      <c r="J28" s="88" t="b">
        <v>0</v>
      </c>
      <c r="K28" s="88" t="b">
        <v>0</v>
      </c>
      <c r="L28" s="88" t="b">
        <v>0</v>
      </c>
    </row>
    <row r="29" spans="1:12" ht="15">
      <c r="A29" s="83" t="s">
        <v>1977</v>
      </c>
      <c r="B29" s="88" t="s">
        <v>1981</v>
      </c>
      <c r="C29" s="88">
        <v>11</v>
      </c>
      <c r="D29" s="110">
        <v>0.003826671793938652</v>
      </c>
      <c r="E29" s="110">
        <v>2.4458635609892205</v>
      </c>
      <c r="F29" s="88" t="s">
        <v>2714</v>
      </c>
      <c r="G29" s="88" t="b">
        <v>0</v>
      </c>
      <c r="H29" s="88" t="b">
        <v>0</v>
      </c>
      <c r="I29" s="88" t="b">
        <v>0</v>
      </c>
      <c r="J29" s="88" t="b">
        <v>0</v>
      </c>
      <c r="K29" s="88" t="b">
        <v>0</v>
      </c>
      <c r="L29" s="88" t="b">
        <v>0</v>
      </c>
    </row>
    <row r="30" spans="1:12" ht="15">
      <c r="A30" s="83" t="s">
        <v>1981</v>
      </c>
      <c r="B30" s="88" t="s">
        <v>1964</v>
      </c>
      <c r="C30" s="88">
        <v>11</v>
      </c>
      <c r="D30" s="110">
        <v>0.003826671793938652</v>
      </c>
      <c r="E30" s="110">
        <v>1.3155297924942144</v>
      </c>
      <c r="F30" s="88" t="s">
        <v>2714</v>
      </c>
      <c r="G30" s="88" t="b">
        <v>0</v>
      </c>
      <c r="H30" s="88" t="b">
        <v>0</v>
      </c>
      <c r="I30" s="88" t="b">
        <v>0</v>
      </c>
      <c r="J30" s="88" t="b">
        <v>0</v>
      </c>
      <c r="K30" s="88" t="b">
        <v>0</v>
      </c>
      <c r="L30" s="88" t="b">
        <v>0</v>
      </c>
    </row>
    <row r="31" spans="1:12" ht="15">
      <c r="A31" s="83" t="s">
        <v>1978</v>
      </c>
      <c r="B31" s="88" t="s">
        <v>1982</v>
      </c>
      <c r="C31" s="88">
        <v>11</v>
      </c>
      <c r="D31" s="110">
        <v>0.003826671793938652</v>
      </c>
      <c r="E31" s="110">
        <v>2.2462912060840163</v>
      </c>
      <c r="F31" s="88" t="s">
        <v>2714</v>
      </c>
      <c r="G31" s="88" t="b">
        <v>0</v>
      </c>
      <c r="H31" s="88" t="b">
        <v>0</v>
      </c>
      <c r="I31" s="88" t="b">
        <v>0</v>
      </c>
      <c r="J31" s="88" t="b">
        <v>0</v>
      </c>
      <c r="K31" s="88" t="b">
        <v>0</v>
      </c>
      <c r="L31" s="88" t="b">
        <v>0</v>
      </c>
    </row>
    <row r="32" spans="1:12" ht="15">
      <c r="A32" s="83" t="s">
        <v>1982</v>
      </c>
      <c r="B32" s="88" t="s">
        <v>1979</v>
      </c>
      <c r="C32" s="88">
        <v>11</v>
      </c>
      <c r="D32" s="110">
        <v>0.003826671793938652</v>
      </c>
      <c r="E32" s="110">
        <v>2.348953547981164</v>
      </c>
      <c r="F32" s="88" t="s">
        <v>2714</v>
      </c>
      <c r="G32" s="88" t="b">
        <v>0</v>
      </c>
      <c r="H32" s="88" t="b">
        <v>0</v>
      </c>
      <c r="I32" s="88" t="b">
        <v>0</v>
      </c>
      <c r="J32" s="88" t="b">
        <v>0</v>
      </c>
      <c r="K32" s="88" t="b">
        <v>0</v>
      </c>
      <c r="L32" s="88" t="b">
        <v>0</v>
      </c>
    </row>
    <row r="33" spans="1:12" ht="15">
      <c r="A33" s="83" t="s">
        <v>1997</v>
      </c>
      <c r="B33" s="88" t="s">
        <v>1944</v>
      </c>
      <c r="C33" s="88">
        <v>10</v>
      </c>
      <c r="D33" s="110">
        <v>0.0035958202050791607</v>
      </c>
      <c r="E33" s="110">
        <v>0.9957428092488647</v>
      </c>
      <c r="F33" s="88" t="s">
        <v>2714</v>
      </c>
      <c r="G33" s="88" t="b">
        <v>0</v>
      </c>
      <c r="H33" s="88" t="b">
        <v>0</v>
      </c>
      <c r="I33" s="88" t="b">
        <v>0</v>
      </c>
      <c r="J33" s="88" t="b">
        <v>0</v>
      </c>
      <c r="K33" s="88" t="b">
        <v>0</v>
      </c>
      <c r="L33" s="88" t="b">
        <v>0</v>
      </c>
    </row>
    <row r="34" spans="1:12" ht="15">
      <c r="A34" s="83" t="s">
        <v>1966</v>
      </c>
      <c r="B34" s="88" t="s">
        <v>332</v>
      </c>
      <c r="C34" s="88">
        <v>9</v>
      </c>
      <c r="D34" s="110">
        <v>0.0033526694582625294</v>
      </c>
      <c r="E34" s="110">
        <v>1.6442312147560538</v>
      </c>
      <c r="F34" s="88" t="s">
        <v>2714</v>
      </c>
      <c r="G34" s="88" t="b">
        <v>0</v>
      </c>
      <c r="H34" s="88" t="b">
        <v>0</v>
      </c>
      <c r="I34" s="88" t="b">
        <v>0</v>
      </c>
      <c r="J34" s="88" t="b">
        <v>0</v>
      </c>
      <c r="K34" s="88" t="b">
        <v>0</v>
      </c>
      <c r="L34" s="88" t="b">
        <v>0</v>
      </c>
    </row>
    <row r="35" spans="1:12" ht="15">
      <c r="A35" s="83" t="s">
        <v>1979</v>
      </c>
      <c r="B35" s="88" t="s">
        <v>1990</v>
      </c>
      <c r="C35" s="88">
        <v>7</v>
      </c>
      <c r="D35" s="110">
        <v>0.002823637253507406</v>
      </c>
      <c r="E35" s="110">
        <v>2.182622126214639</v>
      </c>
      <c r="F35" s="88" t="s">
        <v>2714</v>
      </c>
      <c r="G35" s="88" t="b">
        <v>0</v>
      </c>
      <c r="H35" s="88" t="b">
        <v>0</v>
      </c>
      <c r="I35" s="88" t="b">
        <v>0</v>
      </c>
      <c r="J35" s="88" t="b">
        <v>0</v>
      </c>
      <c r="K35" s="88" t="b">
        <v>0</v>
      </c>
      <c r="L35" s="88" t="b">
        <v>0</v>
      </c>
    </row>
    <row r="36" spans="1:12" ht="15">
      <c r="A36" s="83" t="s">
        <v>1990</v>
      </c>
      <c r="B36" s="88" t="s">
        <v>1944</v>
      </c>
      <c r="C36" s="88">
        <v>7</v>
      </c>
      <c r="D36" s="110">
        <v>0.002823637253507406</v>
      </c>
      <c r="E36" s="110">
        <v>1.2261917306271386</v>
      </c>
      <c r="F36" s="88" t="s">
        <v>2714</v>
      </c>
      <c r="G36" s="88" t="b">
        <v>0</v>
      </c>
      <c r="H36" s="88" t="b">
        <v>0</v>
      </c>
      <c r="I36" s="88" t="b">
        <v>0</v>
      </c>
      <c r="J36" s="88" t="b">
        <v>0</v>
      </c>
      <c r="K36" s="88" t="b">
        <v>0</v>
      </c>
      <c r="L36" s="88" t="b">
        <v>0</v>
      </c>
    </row>
    <row r="37" spans="1:12" ht="15">
      <c r="A37" s="83" t="s">
        <v>1944</v>
      </c>
      <c r="B37" s="88" t="s">
        <v>1991</v>
      </c>
      <c r="C37" s="88">
        <v>7</v>
      </c>
      <c r="D37" s="110">
        <v>0.002823637253507406</v>
      </c>
      <c r="E37" s="110">
        <v>0.8563926969692784</v>
      </c>
      <c r="F37" s="88" t="s">
        <v>2714</v>
      </c>
      <c r="G37" s="88" t="b">
        <v>0</v>
      </c>
      <c r="H37" s="88" t="b">
        <v>0</v>
      </c>
      <c r="I37" s="88" t="b">
        <v>0</v>
      </c>
      <c r="J37" s="88" t="b">
        <v>0</v>
      </c>
      <c r="K37" s="88" t="b">
        <v>0</v>
      </c>
      <c r="L37" s="88" t="b">
        <v>0</v>
      </c>
    </row>
    <row r="38" spans="1:12" ht="15">
      <c r="A38" s="83" t="s">
        <v>1991</v>
      </c>
      <c r="B38" s="88" t="s">
        <v>1992</v>
      </c>
      <c r="C38" s="88">
        <v>7</v>
      </c>
      <c r="D38" s="110">
        <v>0.002823637253507406</v>
      </c>
      <c r="E38" s="110">
        <v>2.098301240514603</v>
      </c>
      <c r="F38" s="88" t="s">
        <v>2714</v>
      </c>
      <c r="G38" s="88" t="b">
        <v>0</v>
      </c>
      <c r="H38" s="88" t="b">
        <v>0</v>
      </c>
      <c r="I38" s="88" t="b">
        <v>0</v>
      </c>
      <c r="J38" s="88" t="b">
        <v>0</v>
      </c>
      <c r="K38" s="88" t="b">
        <v>0</v>
      </c>
      <c r="L38" s="88" t="b">
        <v>0</v>
      </c>
    </row>
    <row r="39" spans="1:12" ht="15">
      <c r="A39" s="83" t="s">
        <v>1993</v>
      </c>
      <c r="B39" s="88" t="s">
        <v>1994</v>
      </c>
      <c r="C39" s="88">
        <v>7</v>
      </c>
      <c r="D39" s="110">
        <v>0.002823637253507406</v>
      </c>
      <c r="E39" s="110">
        <v>2.4836521218786203</v>
      </c>
      <c r="F39" s="88" t="s">
        <v>2714</v>
      </c>
      <c r="G39" s="88" t="b">
        <v>0</v>
      </c>
      <c r="H39" s="88" t="b">
        <v>0</v>
      </c>
      <c r="I39" s="88" t="b">
        <v>0</v>
      </c>
      <c r="J39" s="88" t="b">
        <v>0</v>
      </c>
      <c r="K39" s="88" t="b">
        <v>0</v>
      </c>
      <c r="L39" s="88" t="b">
        <v>0</v>
      </c>
    </row>
    <row r="40" spans="1:12" ht="15">
      <c r="A40" s="83" t="s">
        <v>1994</v>
      </c>
      <c r="B40" s="88" t="s">
        <v>390</v>
      </c>
      <c r="C40" s="88">
        <v>7</v>
      </c>
      <c r="D40" s="110">
        <v>0.002823637253507406</v>
      </c>
      <c r="E40" s="110">
        <v>2.525044807036845</v>
      </c>
      <c r="F40" s="88" t="s">
        <v>2714</v>
      </c>
      <c r="G40" s="88" t="b">
        <v>0</v>
      </c>
      <c r="H40" s="88" t="b">
        <v>0</v>
      </c>
      <c r="I40" s="88" t="b">
        <v>0</v>
      </c>
      <c r="J40" s="88" t="b">
        <v>0</v>
      </c>
      <c r="K40" s="88" t="b">
        <v>0</v>
      </c>
      <c r="L40" s="88" t="b">
        <v>0</v>
      </c>
    </row>
    <row r="41" spans="1:12" ht="15">
      <c r="A41" s="83" t="s">
        <v>390</v>
      </c>
      <c r="B41" s="88" t="s">
        <v>1995</v>
      </c>
      <c r="C41" s="88">
        <v>7</v>
      </c>
      <c r="D41" s="110">
        <v>0.002823637253507406</v>
      </c>
      <c r="E41" s="110">
        <v>2.525044807036845</v>
      </c>
      <c r="F41" s="88" t="s">
        <v>2714</v>
      </c>
      <c r="G41" s="88" t="b">
        <v>0</v>
      </c>
      <c r="H41" s="88" t="b">
        <v>0</v>
      </c>
      <c r="I41" s="88" t="b">
        <v>0</v>
      </c>
      <c r="J41" s="88" t="b">
        <v>1</v>
      </c>
      <c r="K41" s="88" t="b">
        <v>0</v>
      </c>
      <c r="L41" s="88" t="b">
        <v>0</v>
      </c>
    </row>
    <row r="42" spans="1:12" ht="15">
      <c r="A42" s="83" t="s">
        <v>1995</v>
      </c>
      <c r="B42" s="88" t="s">
        <v>2439</v>
      </c>
      <c r="C42" s="88">
        <v>7</v>
      </c>
      <c r="D42" s="110">
        <v>0.002823637253507406</v>
      </c>
      <c r="E42" s="110">
        <v>2.6799467670225883</v>
      </c>
      <c r="F42" s="88" t="s">
        <v>2714</v>
      </c>
      <c r="G42" s="88" t="b">
        <v>1</v>
      </c>
      <c r="H42" s="88" t="b">
        <v>0</v>
      </c>
      <c r="I42" s="88" t="b">
        <v>0</v>
      </c>
      <c r="J42" s="88" t="b">
        <v>0</v>
      </c>
      <c r="K42" s="88" t="b">
        <v>0</v>
      </c>
      <c r="L42" s="88" t="b">
        <v>0</v>
      </c>
    </row>
    <row r="43" spans="1:12" ht="15">
      <c r="A43" s="83" t="s">
        <v>2439</v>
      </c>
      <c r="B43" s="88" t="s">
        <v>2440</v>
      </c>
      <c r="C43" s="88">
        <v>7</v>
      </c>
      <c r="D43" s="110">
        <v>0.002823637253507406</v>
      </c>
      <c r="E43" s="110">
        <v>2.6799467670225883</v>
      </c>
      <c r="F43" s="88" t="s">
        <v>2714</v>
      </c>
      <c r="G43" s="88" t="b">
        <v>0</v>
      </c>
      <c r="H43" s="88" t="b">
        <v>0</v>
      </c>
      <c r="I43" s="88" t="b">
        <v>0</v>
      </c>
      <c r="J43" s="88" t="b">
        <v>0</v>
      </c>
      <c r="K43" s="88" t="b">
        <v>0</v>
      </c>
      <c r="L43" s="88" t="b">
        <v>0</v>
      </c>
    </row>
    <row r="44" spans="1:12" ht="15">
      <c r="A44" s="83" t="s">
        <v>2440</v>
      </c>
      <c r="B44" s="88" t="s">
        <v>361</v>
      </c>
      <c r="C44" s="88">
        <v>7</v>
      </c>
      <c r="D44" s="110">
        <v>0.002823637253507406</v>
      </c>
      <c r="E44" s="110">
        <v>2.6219548200449014</v>
      </c>
      <c r="F44" s="88" t="s">
        <v>2714</v>
      </c>
      <c r="G44" s="88" t="b">
        <v>0</v>
      </c>
      <c r="H44" s="88" t="b">
        <v>0</v>
      </c>
      <c r="I44" s="88" t="b">
        <v>0</v>
      </c>
      <c r="J44" s="88" t="b">
        <v>0</v>
      </c>
      <c r="K44" s="88" t="b">
        <v>0</v>
      </c>
      <c r="L44" s="88" t="b">
        <v>0</v>
      </c>
    </row>
    <row r="45" spans="1:12" ht="15">
      <c r="A45" s="83" t="s">
        <v>1944</v>
      </c>
      <c r="B45" s="88" t="s">
        <v>2426</v>
      </c>
      <c r="C45" s="88">
        <v>6</v>
      </c>
      <c r="D45" s="110">
        <v>0.0025338258798182447</v>
      </c>
      <c r="E45" s="110">
        <v>0.1747967887026824</v>
      </c>
      <c r="F45" s="88" t="s">
        <v>2714</v>
      </c>
      <c r="G45" s="88" t="b">
        <v>0</v>
      </c>
      <c r="H45" s="88" t="b">
        <v>0</v>
      </c>
      <c r="I45" s="88" t="b">
        <v>0</v>
      </c>
      <c r="J45" s="88" t="b">
        <v>0</v>
      </c>
      <c r="K45" s="88" t="b">
        <v>0</v>
      </c>
      <c r="L45" s="88" t="b">
        <v>0</v>
      </c>
    </row>
    <row r="46" spans="1:12" ht="15">
      <c r="A46" s="83" t="s">
        <v>1967</v>
      </c>
      <c r="B46" s="88" t="s">
        <v>1964</v>
      </c>
      <c r="C46" s="88">
        <v>6</v>
      </c>
      <c r="D46" s="110">
        <v>0.0025338258798182447</v>
      </c>
      <c r="E46" s="110">
        <v>0.13463965055676438</v>
      </c>
      <c r="F46" s="88" t="s">
        <v>2714</v>
      </c>
      <c r="G46" s="88" t="b">
        <v>0</v>
      </c>
      <c r="H46" s="88" t="b">
        <v>0</v>
      </c>
      <c r="I46" s="88" t="b">
        <v>0</v>
      </c>
      <c r="J46" s="88" t="b">
        <v>0</v>
      </c>
      <c r="K46" s="88" t="b">
        <v>0</v>
      </c>
      <c r="L46" s="88" t="b">
        <v>0</v>
      </c>
    </row>
    <row r="47" spans="1:12" ht="15">
      <c r="A47" s="83" t="s">
        <v>1965</v>
      </c>
      <c r="B47" s="88" t="s">
        <v>1997</v>
      </c>
      <c r="C47" s="88">
        <v>6</v>
      </c>
      <c r="D47" s="110">
        <v>0.0025338258798182447</v>
      </c>
      <c r="E47" s="110">
        <v>0.857903287994517</v>
      </c>
      <c r="F47" s="88" t="s">
        <v>2714</v>
      </c>
      <c r="G47" s="88" t="b">
        <v>0</v>
      </c>
      <c r="H47" s="88" t="b">
        <v>0</v>
      </c>
      <c r="I47" s="88" t="b">
        <v>0</v>
      </c>
      <c r="J47" s="88" t="b">
        <v>0</v>
      </c>
      <c r="K47" s="88" t="b">
        <v>0</v>
      </c>
      <c r="L47" s="88" t="b">
        <v>0</v>
      </c>
    </row>
    <row r="48" spans="1:12" ht="15">
      <c r="A48" s="83" t="s">
        <v>1971</v>
      </c>
      <c r="B48" s="88" t="s">
        <v>1991</v>
      </c>
      <c r="C48" s="88">
        <v>6</v>
      </c>
      <c r="D48" s="110">
        <v>0.0025338258798182447</v>
      </c>
      <c r="E48" s="110">
        <v>1.186256410869733</v>
      </c>
      <c r="F48" s="88" t="s">
        <v>2714</v>
      </c>
      <c r="G48" s="88" t="b">
        <v>0</v>
      </c>
      <c r="H48" s="88" t="b">
        <v>0</v>
      </c>
      <c r="I48" s="88" t="b">
        <v>0</v>
      </c>
      <c r="J48" s="88" t="b">
        <v>0</v>
      </c>
      <c r="K48" s="88" t="b">
        <v>0</v>
      </c>
      <c r="L48" s="88" t="b">
        <v>0</v>
      </c>
    </row>
    <row r="49" spans="1:12" ht="15">
      <c r="A49" s="83" t="s">
        <v>1991</v>
      </c>
      <c r="B49" s="88" t="s">
        <v>2011</v>
      </c>
      <c r="C49" s="88">
        <v>6</v>
      </c>
      <c r="D49" s="110">
        <v>0.0025338258798182447</v>
      </c>
      <c r="E49" s="110">
        <v>2.2945958856585715</v>
      </c>
      <c r="F49" s="88" t="s">
        <v>2714</v>
      </c>
      <c r="G49" s="88" t="b">
        <v>0</v>
      </c>
      <c r="H49" s="88" t="b">
        <v>0</v>
      </c>
      <c r="I49" s="88" t="b">
        <v>0</v>
      </c>
      <c r="J49" s="88" t="b">
        <v>0</v>
      </c>
      <c r="K49" s="88" t="b">
        <v>0</v>
      </c>
      <c r="L49" s="88" t="b">
        <v>0</v>
      </c>
    </row>
    <row r="50" spans="1:12" ht="15">
      <c r="A50" s="83" t="s">
        <v>2011</v>
      </c>
      <c r="B50" s="88" t="s">
        <v>2012</v>
      </c>
      <c r="C50" s="88">
        <v>6</v>
      </c>
      <c r="D50" s="110">
        <v>0.0025338258798182447</v>
      </c>
      <c r="E50" s="110">
        <v>2.2945958856585715</v>
      </c>
      <c r="F50" s="88" t="s">
        <v>2714</v>
      </c>
      <c r="G50" s="88" t="b">
        <v>0</v>
      </c>
      <c r="H50" s="88" t="b">
        <v>0</v>
      </c>
      <c r="I50" s="88" t="b">
        <v>0</v>
      </c>
      <c r="J50" s="88" t="b">
        <v>0</v>
      </c>
      <c r="K50" s="88" t="b">
        <v>0</v>
      </c>
      <c r="L50" s="88" t="b">
        <v>0</v>
      </c>
    </row>
    <row r="51" spans="1:12" ht="15">
      <c r="A51" s="83" t="s">
        <v>2012</v>
      </c>
      <c r="B51" s="88" t="s">
        <v>2013</v>
      </c>
      <c r="C51" s="88">
        <v>6</v>
      </c>
      <c r="D51" s="110">
        <v>0.0025338258798182447</v>
      </c>
      <c r="E51" s="110">
        <v>2.348953547981164</v>
      </c>
      <c r="F51" s="88" t="s">
        <v>2714</v>
      </c>
      <c r="G51" s="88" t="b">
        <v>0</v>
      </c>
      <c r="H51" s="88" t="b">
        <v>0</v>
      </c>
      <c r="I51" s="88" t="b">
        <v>0</v>
      </c>
      <c r="J51" s="88" t="b">
        <v>0</v>
      </c>
      <c r="K51" s="88" t="b">
        <v>0</v>
      </c>
      <c r="L51" s="88" t="b">
        <v>0</v>
      </c>
    </row>
    <row r="52" spans="1:12" ht="15">
      <c r="A52" s="83" t="s">
        <v>2013</v>
      </c>
      <c r="B52" s="88" t="s">
        <v>2014</v>
      </c>
      <c r="C52" s="88">
        <v>6</v>
      </c>
      <c r="D52" s="110">
        <v>0.0025338258798182447</v>
      </c>
      <c r="E52" s="110">
        <v>2.746893556653202</v>
      </c>
      <c r="F52" s="88" t="s">
        <v>2714</v>
      </c>
      <c r="G52" s="88" t="b">
        <v>0</v>
      </c>
      <c r="H52" s="88" t="b">
        <v>0</v>
      </c>
      <c r="I52" s="88" t="b">
        <v>0</v>
      </c>
      <c r="J52" s="88" t="b">
        <v>0</v>
      </c>
      <c r="K52" s="88" t="b">
        <v>0</v>
      </c>
      <c r="L52" s="88" t="b">
        <v>0</v>
      </c>
    </row>
    <row r="53" spans="1:12" ht="15">
      <c r="A53" s="83" t="s">
        <v>2014</v>
      </c>
      <c r="B53" s="88" t="s">
        <v>1967</v>
      </c>
      <c r="C53" s="88">
        <v>6</v>
      </c>
      <c r="D53" s="110">
        <v>0.0025338258798182447</v>
      </c>
      <c r="E53" s="110">
        <v>1.5660034147157516</v>
      </c>
      <c r="F53" s="88" t="s">
        <v>2714</v>
      </c>
      <c r="G53" s="88" t="b">
        <v>0</v>
      </c>
      <c r="H53" s="88" t="b">
        <v>0</v>
      </c>
      <c r="I53" s="88" t="b">
        <v>0</v>
      </c>
      <c r="J53" s="88" t="b">
        <v>0</v>
      </c>
      <c r="K53" s="88" t="b">
        <v>0</v>
      </c>
      <c r="L53" s="88" t="b">
        <v>0</v>
      </c>
    </row>
    <row r="54" spans="1:12" ht="15">
      <c r="A54" s="83" t="s">
        <v>1944</v>
      </c>
      <c r="B54" s="88" t="s">
        <v>2015</v>
      </c>
      <c r="C54" s="88">
        <v>6</v>
      </c>
      <c r="D54" s="110">
        <v>0.0025338258798182447</v>
      </c>
      <c r="E54" s="110">
        <v>1.2417435783332957</v>
      </c>
      <c r="F54" s="88" t="s">
        <v>2714</v>
      </c>
      <c r="G54" s="88" t="b">
        <v>0</v>
      </c>
      <c r="H54" s="88" t="b">
        <v>0</v>
      </c>
      <c r="I54" s="88" t="b">
        <v>0</v>
      </c>
      <c r="J54" s="88" t="b">
        <v>0</v>
      </c>
      <c r="K54" s="88" t="b">
        <v>0</v>
      </c>
      <c r="L54" s="88" t="b">
        <v>0</v>
      </c>
    </row>
    <row r="55" spans="1:12" ht="15">
      <c r="A55" s="83" t="s">
        <v>2015</v>
      </c>
      <c r="B55" s="88" t="s">
        <v>2446</v>
      </c>
      <c r="C55" s="88">
        <v>6</v>
      </c>
      <c r="D55" s="110">
        <v>0.0025338258798182447</v>
      </c>
      <c r="E55" s="110">
        <v>2.746893556653202</v>
      </c>
      <c r="F55" s="88" t="s">
        <v>2714</v>
      </c>
      <c r="G55" s="88" t="b">
        <v>0</v>
      </c>
      <c r="H55" s="88" t="b">
        <v>0</v>
      </c>
      <c r="I55" s="88" t="b">
        <v>0</v>
      </c>
      <c r="J55" s="88" t="b">
        <v>0</v>
      </c>
      <c r="K55" s="88" t="b">
        <v>0</v>
      </c>
      <c r="L55" s="88" t="b">
        <v>0</v>
      </c>
    </row>
    <row r="56" spans="1:12" ht="15">
      <c r="A56" s="83" t="s">
        <v>2446</v>
      </c>
      <c r="B56" s="88" t="s">
        <v>1972</v>
      </c>
      <c r="C56" s="88">
        <v>6</v>
      </c>
      <c r="D56" s="110">
        <v>0.0025338258798182447</v>
      </c>
      <c r="E56" s="110">
        <v>1.6617219469163893</v>
      </c>
      <c r="F56" s="88" t="s">
        <v>2714</v>
      </c>
      <c r="G56" s="88" t="b">
        <v>0</v>
      </c>
      <c r="H56" s="88" t="b">
        <v>0</v>
      </c>
      <c r="I56" s="88" t="b">
        <v>0</v>
      </c>
      <c r="J56" s="88" t="b">
        <v>0</v>
      </c>
      <c r="K56" s="88" t="b">
        <v>0</v>
      </c>
      <c r="L56" s="88" t="b">
        <v>0</v>
      </c>
    </row>
    <row r="57" spans="1:12" ht="15">
      <c r="A57" s="83" t="s">
        <v>1972</v>
      </c>
      <c r="B57" s="88" t="s">
        <v>1964</v>
      </c>
      <c r="C57" s="88">
        <v>6</v>
      </c>
      <c r="D57" s="110">
        <v>0.0025338258798182447</v>
      </c>
      <c r="E57" s="110">
        <v>0.2363485464465895</v>
      </c>
      <c r="F57" s="88" t="s">
        <v>2714</v>
      </c>
      <c r="G57" s="88" t="b">
        <v>0</v>
      </c>
      <c r="H57" s="88" t="b">
        <v>0</v>
      </c>
      <c r="I57" s="88" t="b">
        <v>0</v>
      </c>
      <c r="J57" s="88" t="b">
        <v>0</v>
      </c>
      <c r="K57" s="88" t="b">
        <v>0</v>
      </c>
      <c r="L57" s="88" t="b">
        <v>0</v>
      </c>
    </row>
    <row r="58" spans="1:12" ht="15">
      <c r="A58" s="83" t="s">
        <v>1964</v>
      </c>
      <c r="B58" s="88" t="s">
        <v>1964</v>
      </c>
      <c r="C58" s="88">
        <v>6</v>
      </c>
      <c r="D58" s="110">
        <v>0.0025338258798182447</v>
      </c>
      <c r="E58" s="110">
        <v>-0.13676787850041597</v>
      </c>
      <c r="F58" s="88" t="s">
        <v>2714</v>
      </c>
      <c r="G58" s="88" t="b">
        <v>0</v>
      </c>
      <c r="H58" s="88" t="b">
        <v>0</v>
      </c>
      <c r="I58" s="88" t="b">
        <v>0</v>
      </c>
      <c r="J58" s="88" t="b">
        <v>0</v>
      </c>
      <c r="K58" s="88" t="b">
        <v>0</v>
      </c>
      <c r="L58" s="88" t="b">
        <v>0</v>
      </c>
    </row>
    <row r="59" spans="1:12" ht="15">
      <c r="A59" s="83" t="s">
        <v>1964</v>
      </c>
      <c r="B59" s="88" t="s">
        <v>2447</v>
      </c>
      <c r="C59" s="88">
        <v>6</v>
      </c>
      <c r="D59" s="110">
        <v>0.0025338258798182447</v>
      </c>
      <c r="E59" s="110">
        <v>1.2945958856585713</v>
      </c>
      <c r="F59" s="88" t="s">
        <v>2714</v>
      </c>
      <c r="G59" s="88" t="b">
        <v>0</v>
      </c>
      <c r="H59" s="88" t="b">
        <v>0</v>
      </c>
      <c r="I59" s="88" t="b">
        <v>0</v>
      </c>
      <c r="J59" s="88" t="b">
        <v>0</v>
      </c>
      <c r="K59" s="88" t="b">
        <v>0</v>
      </c>
      <c r="L59" s="88" t="b">
        <v>0</v>
      </c>
    </row>
    <row r="60" spans="1:12" ht="15">
      <c r="A60" s="83" t="s">
        <v>2447</v>
      </c>
      <c r="B60" s="88" t="s">
        <v>1988</v>
      </c>
      <c r="C60" s="88">
        <v>6</v>
      </c>
      <c r="D60" s="110">
        <v>0.0025338258798182447</v>
      </c>
      <c r="E60" s="110">
        <v>2.348953547981164</v>
      </c>
      <c r="F60" s="88" t="s">
        <v>2714</v>
      </c>
      <c r="G60" s="88" t="b">
        <v>0</v>
      </c>
      <c r="H60" s="88" t="b">
        <v>0</v>
      </c>
      <c r="I60" s="88" t="b">
        <v>0</v>
      </c>
      <c r="J60" s="88" t="b">
        <v>0</v>
      </c>
      <c r="K60" s="88" t="b">
        <v>0</v>
      </c>
      <c r="L60" s="88" t="b">
        <v>0</v>
      </c>
    </row>
    <row r="61" spans="1:12" ht="15">
      <c r="A61" s="83" t="s">
        <v>1988</v>
      </c>
      <c r="B61" s="88" t="s">
        <v>1965</v>
      </c>
      <c r="C61" s="88">
        <v>6</v>
      </c>
      <c r="D61" s="110">
        <v>0.0025338258798182447</v>
      </c>
      <c r="E61" s="110">
        <v>0.9043883272172243</v>
      </c>
      <c r="F61" s="88" t="s">
        <v>2714</v>
      </c>
      <c r="G61" s="88" t="b">
        <v>0</v>
      </c>
      <c r="H61" s="88" t="b">
        <v>0</v>
      </c>
      <c r="I61" s="88" t="b">
        <v>0</v>
      </c>
      <c r="J61" s="88" t="b">
        <v>0</v>
      </c>
      <c r="K61" s="88" t="b">
        <v>0</v>
      </c>
      <c r="L61" s="88" t="b">
        <v>0</v>
      </c>
    </row>
    <row r="62" spans="1:12" ht="15">
      <c r="A62" s="83" t="s">
        <v>1965</v>
      </c>
      <c r="B62" s="88" t="s">
        <v>2448</v>
      </c>
      <c r="C62" s="88">
        <v>6</v>
      </c>
      <c r="D62" s="110">
        <v>0.0025338258798182447</v>
      </c>
      <c r="E62" s="110">
        <v>1.3102009589891472</v>
      </c>
      <c r="F62" s="88" t="s">
        <v>2714</v>
      </c>
      <c r="G62" s="88" t="b">
        <v>0</v>
      </c>
      <c r="H62" s="88" t="b">
        <v>0</v>
      </c>
      <c r="I62" s="88" t="b">
        <v>0</v>
      </c>
      <c r="J62" s="88" t="b">
        <v>0</v>
      </c>
      <c r="K62" s="88" t="b">
        <v>0</v>
      </c>
      <c r="L62" s="88" t="b">
        <v>0</v>
      </c>
    </row>
    <row r="63" spans="1:12" ht="15">
      <c r="A63" s="83" t="s">
        <v>2448</v>
      </c>
      <c r="B63" s="88" t="s">
        <v>2449</v>
      </c>
      <c r="C63" s="88">
        <v>6</v>
      </c>
      <c r="D63" s="110">
        <v>0.0025338258798182447</v>
      </c>
      <c r="E63" s="110">
        <v>2.746893556653202</v>
      </c>
      <c r="F63" s="88" t="s">
        <v>2714</v>
      </c>
      <c r="G63" s="88" t="b">
        <v>0</v>
      </c>
      <c r="H63" s="88" t="b">
        <v>0</v>
      </c>
      <c r="I63" s="88" t="b">
        <v>0</v>
      </c>
      <c r="J63" s="88" t="b">
        <v>0</v>
      </c>
      <c r="K63" s="88" t="b">
        <v>0</v>
      </c>
      <c r="L63" s="88" t="b">
        <v>0</v>
      </c>
    </row>
    <row r="64" spans="1:12" ht="15">
      <c r="A64" s="83" t="s">
        <v>2449</v>
      </c>
      <c r="B64" s="88" t="s">
        <v>2450</v>
      </c>
      <c r="C64" s="88">
        <v>6</v>
      </c>
      <c r="D64" s="110">
        <v>0.0025338258798182447</v>
      </c>
      <c r="E64" s="110">
        <v>2.746893556653202</v>
      </c>
      <c r="F64" s="88" t="s">
        <v>2714</v>
      </c>
      <c r="G64" s="88" t="b">
        <v>0</v>
      </c>
      <c r="H64" s="88" t="b">
        <v>0</v>
      </c>
      <c r="I64" s="88" t="b">
        <v>0</v>
      </c>
      <c r="J64" s="88" t="b">
        <v>0</v>
      </c>
      <c r="K64" s="88" t="b">
        <v>0</v>
      </c>
      <c r="L64" s="88" t="b">
        <v>0</v>
      </c>
    </row>
    <row r="65" spans="1:12" ht="15">
      <c r="A65" s="83" t="s">
        <v>2450</v>
      </c>
      <c r="B65" s="88" t="s">
        <v>2451</v>
      </c>
      <c r="C65" s="88">
        <v>6</v>
      </c>
      <c r="D65" s="110">
        <v>0.0025338258798182447</v>
      </c>
      <c r="E65" s="110">
        <v>2.746893556653202</v>
      </c>
      <c r="F65" s="88" t="s">
        <v>2714</v>
      </c>
      <c r="G65" s="88" t="b">
        <v>0</v>
      </c>
      <c r="H65" s="88" t="b">
        <v>0</v>
      </c>
      <c r="I65" s="88" t="b">
        <v>0</v>
      </c>
      <c r="J65" s="88" t="b">
        <v>0</v>
      </c>
      <c r="K65" s="88" t="b">
        <v>0</v>
      </c>
      <c r="L65" s="88" t="b">
        <v>0</v>
      </c>
    </row>
    <row r="66" spans="1:12" ht="15">
      <c r="A66" s="83" t="s">
        <v>2451</v>
      </c>
      <c r="B66" s="88" t="s">
        <v>2452</v>
      </c>
      <c r="C66" s="88">
        <v>6</v>
      </c>
      <c r="D66" s="110">
        <v>0.0025338258798182447</v>
      </c>
      <c r="E66" s="110">
        <v>2.746893556653202</v>
      </c>
      <c r="F66" s="88" t="s">
        <v>2714</v>
      </c>
      <c r="G66" s="88" t="b">
        <v>0</v>
      </c>
      <c r="H66" s="88" t="b">
        <v>0</v>
      </c>
      <c r="I66" s="88" t="b">
        <v>0</v>
      </c>
      <c r="J66" s="88" t="b">
        <v>0</v>
      </c>
      <c r="K66" s="88" t="b">
        <v>0</v>
      </c>
      <c r="L66" s="88" t="b">
        <v>0</v>
      </c>
    </row>
    <row r="67" spans="1:12" ht="15">
      <c r="A67" s="83" t="s">
        <v>2452</v>
      </c>
      <c r="B67" s="88" t="s">
        <v>2453</v>
      </c>
      <c r="C67" s="88">
        <v>6</v>
      </c>
      <c r="D67" s="110">
        <v>0.0025338258798182447</v>
      </c>
      <c r="E67" s="110">
        <v>2.746893556653202</v>
      </c>
      <c r="F67" s="88" t="s">
        <v>2714</v>
      </c>
      <c r="G67" s="88" t="b">
        <v>0</v>
      </c>
      <c r="H67" s="88" t="b">
        <v>0</v>
      </c>
      <c r="I67" s="88" t="b">
        <v>0</v>
      </c>
      <c r="J67" s="88" t="b">
        <v>0</v>
      </c>
      <c r="K67" s="88" t="b">
        <v>0</v>
      </c>
      <c r="L67" s="88" t="b">
        <v>0</v>
      </c>
    </row>
    <row r="68" spans="1:12" ht="15">
      <c r="A68" s="83" t="s">
        <v>2453</v>
      </c>
      <c r="B68" s="88" t="s">
        <v>2454</v>
      </c>
      <c r="C68" s="88">
        <v>6</v>
      </c>
      <c r="D68" s="110">
        <v>0.0025338258798182447</v>
      </c>
      <c r="E68" s="110">
        <v>2.746893556653202</v>
      </c>
      <c r="F68" s="88" t="s">
        <v>2714</v>
      </c>
      <c r="G68" s="88" t="b">
        <v>0</v>
      </c>
      <c r="H68" s="88" t="b">
        <v>0</v>
      </c>
      <c r="I68" s="88" t="b">
        <v>0</v>
      </c>
      <c r="J68" s="88" t="b">
        <v>0</v>
      </c>
      <c r="K68" s="88" t="b">
        <v>0</v>
      </c>
      <c r="L68" s="88" t="b">
        <v>0</v>
      </c>
    </row>
    <row r="69" spans="1:12" ht="15">
      <c r="A69" s="83" t="s">
        <v>2454</v>
      </c>
      <c r="B69" s="88" t="s">
        <v>2455</v>
      </c>
      <c r="C69" s="88">
        <v>6</v>
      </c>
      <c r="D69" s="110">
        <v>0.0025338258798182447</v>
      </c>
      <c r="E69" s="110">
        <v>2.746893556653202</v>
      </c>
      <c r="F69" s="88" t="s">
        <v>2714</v>
      </c>
      <c r="G69" s="88" t="b">
        <v>0</v>
      </c>
      <c r="H69" s="88" t="b">
        <v>0</v>
      </c>
      <c r="I69" s="88" t="b">
        <v>0</v>
      </c>
      <c r="J69" s="88" t="b">
        <v>0</v>
      </c>
      <c r="K69" s="88" t="b">
        <v>0</v>
      </c>
      <c r="L69" s="88" t="b">
        <v>0</v>
      </c>
    </row>
    <row r="70" spans="1:12" ht="15">
      <c r="A70" s="83" t="s">
        <v>2026</v>
      </c>
      <c r="B70" s="88" t="s">
        <v>2029</v>
      </c>
      <c r="C70" s="88">
        <v>5</v>
      </c>
      <c r="D70" s="110">
        <v>0.002223454342946678</v>
      </c>
      <c r="E70" s="110">
        <v>2.7468935566532013</v>
      </c>
      <c r="F70" s="88" t="s">
        <v>2714</v>
      </c>
      <c r="G70" s="88" t="b">
        <v>0</v>
      </c>
      <c r="H70" s="88" t="b">
        <v>0</v>
      </c>
      <c r="I70" s="88" t="b">
        <v>0</v>
      </c>
      <c r="J70" s="88" t="b">
        <v>0</v>
      </c>
      <c r="K70" s="88" t="b">
        <v>0</v>
      </c>
      <c r="L70" s="88" t="b">
        <v>0</v>
      </c>
    </row>
    <row r="71" spans="1:12" ht="15">
      <c r="A71" s="83" t="s">
        <v>2029</v>
      </c>
      <c r="B71" s="88" t="s">
        <v>1987</v>
      </c>
      <c r="C71" s="88">
        <v>5</v>
      </c>
      <c r="D71" s="110">
        <v>0.002223454342946678</v>
      </c>
      <c r="E71" s="110">
        <v>2.1168048417249956</v>
      </c>
      <c r="F71" s="88" t="s">
        <v>2714</v>
      </c>
      <c r="G71" s="88" t="b">
        <v>0</v>
      </c>
      <c r="H71" s="88" t="b">
        <v>0</v>
      </c>
      <c r="I71" s="88" t="b">
        <v>0</v>
      </c>
      <c r="J71" s="88" t="b">
        <v>0</v>
      </c>
      <c r="K71" s="88" t="b">
        <v>0</v>
      </c>
      <c r="L71" s="88" t="b">
        <v>0</v>
      </c>
    </row>
    <row r="72" spans="1:12" ht="15">
      <c r="A72" s="83" t="s">
        <v>1987</v>
      </c>
      <c r="B72" s="88" t="s">
        <v>2030</v>
      </c>
      <c r="C72" s="88">
        <v>5</v>
      </c>
      <c r="D72" s="110">
        <v>0.002223454342946678</v>
      </c>
      <c r="E72" s="110">
        <v>2.3209248243809206</v>
      </c>
      <c r="F72" s="88" t="s">
        <v>2714</v>
      </c>
      <c r="G72" s="88" t="b">
        <v>0</v>
      </c>
      <c r="H72" s="88" t="b">
        <v>0</v>
      </c>
      <c r="I72" s="88" t="b">
        <v>0</v>
      </c>
      <c r="J72" s="88" t="b">
        <v>0</v>
      </c>
      <c r="K72" s="88" t="b">
        <v>0</v>
      </c>
      <c r="L72" s="88" t="b">
        <v>0</v>
      </c>
    </row>
    <row r="73" spans="1:12" ht="15">
      <c r="A73" s="83" t="s">
        <v>2030</v>
      </c>
      <c r="B73" s="88" t="s">
        <v>2031</v>
      </c>
      <c r="C73" s="88">
        <v>5</v>
      </c>
      <c r="D73" s="110">
        <v>0.002223454342946678</v>
      </c>
      <c r="E73" s="110">
        <v>2.8260748027008264</v>
      </c>
      <c r="F73" s="88" t="s">
        <v>2714</v>
      </c>
      <c r="G73" s="88" t="b">
        <v>0</v>
      </c>
      <c r="H73" s="88" t="b">
        <v>0</v>
      </c>
      <c r="I73" s="88" t="b">
        <v>0</v>
      </c>
      <c r="J73" s="88" t="b">
        <v>0</v>
      </c>
      <c r="K73" s="88" t="b">
        <v>0</v>
      </c>
      <c r="L73" s="88" t="b">
        <v>0</v>
      </c>
    </row>
    <row r="74" spans="1:12" ht="15">
      <c r="A74" s="83" t="s">
        <v>2031</v>
      </c>
      <c r="B74" s="88" t="s">
        <v>2032</v>
      </c>
      <c r="C74" s="88">
        <v>5</v>
      </c>
      <c r="D74" s="110">
        <v>0.002223454342946678</v>
      </c>
      <c r="E74" s="110">
        <v>2.8260748027008264</v>
      </c>
      <c r="F74" s="88" t="s">
        <v>2714</v>
      </c>
      <c r="G74" s="88" t="b">
        <v>0</v>
      </c>
      <c r="H74" s="88" t="b">
        <v>0</v>
      </c>
      <c r="I74" s="88" t="b">
        <v>0</v>
      </c>
      <c r="J74" s="88" t="b">
        <v>0</v>
      </c>
      <c r="K74" s="88" t="b">
        <v>0</v>
      </c>
      <c r="L74" s="88" t="b">
        <v>0</v>
      </c>
    </row>
    <row r="75" spans="1:12" ht="15">
      <c r="A75" s="83" t="s">
        <v>2032</v>
      </c>
      <c r="B75" s="88" t="s">
        <v>2458</v>
      </c>
      <c r="C75" s="88">
        <v>5</v>
      </c>
      <c r="D75" s="110">
        <v>0.002223454342946678</v>
      </c>
      <c r="E75" s="110">
        <v>2.8260748027008264</v>
      </c>
      <c r="F75" s="88" t="s">
        <v>2714</v>
      </c>
      <c r="G75" s="88" t="b">
        <v>0</v>
      </c>
      <c r="H75" s="88" t="b">
        <v>0</v>
      </c>
      <c r="I75" s="88" t="b">
        <v>0</v>
      </c>
      <c r="J75" s="88" t="b">
        <v>0</v>
      </c>
      <c r="K75" s="88" t="b">
        <v>0</v>
      </c>
      <c r="L75" s="88" t="b">
        <v>0</v>
      </c>
    </row>
    <row r="76" spans="1:12" ht="15">
      <c r="A76" s="83" t="s">
        <v>2458</v>
      </c>
      <c r="B76" s="88" t="s">
        <v>2459</v>
      </c>
      <c r="C76" s="88">
        <v>5</v>
      </c>
      <c r="D76" s="110">
        <v>0.002223454342946678</v>
      </c>
      <c r="E76" s="110">
        <v>2.8260748027008264</v>
      </c>
      <c r="F76" s="88" t="s">
        <v>2714</v>
      </c>
      <c r="G76" s="88" t="b">
        <v>0</v>
      </c>
      <c r="H76" s="88" t="b">
        <v>0</v>
      </c>
      <c r="I76" s="88" t="b">
        <v>0</v>
      </c>
      <c r="J76" s="88" t="b">
        <v>0</v>
      </c>
      <c r="K76" s="88" t="b">
        <v>0</v>
      </c>
      <c r="L76" s="88" t="b">
        <v>0</v>
      </c>
    </row>
    <row r="77" spans="1:12" ht="15">
      <c r="A77" s="83" t="s">
        <v>2459</v>
      </c>
      <c r="B77" s="88" t="s">
        <v>1964</v>
      </c>
      <c r="C77" s="88">
        <v>5</v>
      </c>
      <c r="D77" s="110">
        <v>0.002223454342946678</v>
      </c>
      <c r="E77" s="110">
        <v>1.3155297924942142</v>
      </c>
      <c r="F77" s="88" t="s">
        <v>2714</v>
      </c>
      <c r="G77" s="88" t="b">
        <v>0</v>
      </c>
      <c r="H77" s="88" t="b">
        <v>0</v>
      </c>
      <c r="I77" s="88" t="b">
        <v>0</v>
      </c>
      <c r="J77" s="88" t="b">
        <v>0</v>
      </c>
      <c r="K77" s="88" t="b">
        <v>0</v>
      </c>
      <c r="L77" s="88" t="b">
        <v>0</v>
      </c>
    </row>
    <row r="78" spans="1:12" ht="15">
      <c r="A78" s="83" t="s">
        <v>1944</v>
      </c>
      <c r="B78" s="88" t="s">
        <v>2460</v>
      </c>
      <c r="C78" s="88">
        <v>5</v>
      </c>
      <c r="D78" s="110">
        <v>0.002223454342946678</v>
      </c>
      <c r="E78" s="110">
        <v>1.2417435783332955</v>
      </c>
      <c r="F78" s="88" t="s">
        <v>2714</v>
      </c>
      <c r="G78" s="88" t="b">
        <v>0</v>
      </c>
      <c r="H78" s="88" t="b">
        <v>0</v>
      </c>
      <c r="I78" s="88" t="b">
        <v>0</v>
      </c>
      <c r="J78" s="88" t="b">
        <v>0</v>
      </c>
      <c r="K78" s="88" t="b">
        <v>0</v>
      </c>
      <c r="L78" s="88" t="b">
        <v>0</v>
      </c>
    </row>
    <row r="79" spans="1:12" ht="15">
      <c r="A79" s="83" t="s">
        <v>2460</v>
      </c>
      <c r="B79" s="88" t="s">
        <v>1987</v>
      </c>
      <c r="C79" s="88">
        <v>5</v>
      </c>
      <c r="D79" s="110">
        <v>0.002223454342946678</v>
      </c>
      <c r="E79" s="110">
        <v>2.3209248243809206</v>
      </c>
      <c r="F79" s="88" t="s">
        <v>2714</v>
      </c>
      <c r="G79" s="88" t="b">
        <v>0</v>
      </c>
      <c r="H79" s="88" t="b">
        <v>0</v>
      </c>
      <c r="I79" s="88" t="b">
        <v>0</v>
      </c>
      <c r="J79" s="88" t="b">
        <v>0</v>
      </c>
      <c r="K79" s="88" t="b">
        <v>0</v>
      </c>
      <c r="L79" s="88" t="b">
        <v>0</v>
      </c>
    </row>
    <row r="80" spans="1:12" ht="15">
      <c r="A80" s="83" t="s">
        <v>1987</v>
      </c>
      <c r="B80" s="88" t="s">
        <v>365</v>
      </c>
      <c r="C80" s="88">
        <v>5</v>
      </c>
      <c r="D80" s="110">
        <v>0.002223454342946678</v>
      </c>
      <c r="E80" s="110">
        <v>2.3209248243809206</v>
      </c>
      <c r="F80" s="88" t="s">
        <v>2714</v>
      </c>
      <c r="G80" s="88" t="b">
        <v>0</v>
      </c>
      <c r="H80" s="88" t="b">
        <v>0</v>
      </c>
      <c r="I80" s="88" t="b">
        <v>0</v>
      </c>
      <c r="J80" s="88" t="b">
        <v>0</v>
      </c>
      <c r="K80" s="88" t="b">
        <v>0</v>
      </c>
      <c r="L80" s="88" t="b">
        <v>0</v>
      </c>
    </row>
    <row r="81" spans="1:12" ht="15">
      <c r="A81" s="83" t="s">
        <v>365</v>
      </c>
      <c r="B81" s="88" t="s">
        <v>2461</v>
      </c>
      <c r="C81" s="88">
        <v>5</v>
      </c>
      <c r="D81" s="110">
        <v>0.002223454342946678</v>
      </c>
      <c r="E81" s="110">
        <v>2.8260748027008264</v>
      </c>
      <c r="F81" s="88" t="s">
        <v>2714</v>
      </c>
      <c r="G81" s="88" t="b">
        <v>0</v>
      </c>
      <c r="H81" s="88" t="b">
        <v>0</v>
      </c>
      <c r="I81" s="88" t="b">
        <v>0</v>
      </c>
      <c r="J81" s="88" t="b">
        <v>0</v>
      </c>
      <c r="K81" s="88" t="b">
        <v>0</v>
      </c>
      <c r="L81" s="88" t="b">
        <v>0</v>
      </c>
    </row>
    <row r="82" spans="1:12" ht="15">
      <c r="A82" s="83" t="s">
        <v>2461</v>
      </c>
      <c r="B82" s="88" t="s">
        <v>2462</v>
      </c>
      <c r="C82" s="88">
        <v>5</v>
      </c>
      <c r="D82" s="110">
        <v>0.002223454342946678</v>
      </c>
      <c r="E82" s="110">
        <v>2.8260748027008264</v>
      </c>
      <c r="F82" s="88" t="s">
        <v>2714</v>
      </c>
      <c r="G82" s="88" t="b">
        <v>0</v>
      </c>
      <c r="H82" s="88" t="b">
        <v>0</v>
      </c>
      <c r="I82" s="88" t="b">
        <v>0</v>
      </c>
      <c r="J82" s="88" t="b">
        <v>0</v>
      </c>
      <c r="K82" s="88" t="b">
        <v>0</v>
      </c>
      <c r="L82" s="88" t="b">
        <v>0</v>
      </c>
    </row>
    <row r="83" spans="1:12" ht="15">
      <c r="A83" s="83" t="s">
        <v>2462</v>
      </c>
      <c r="B83" s="88" t="s">
        <v>2435</v>
      </c>
      <c r="C83" s="88">
        <v>5</v>
      </c>
      <c r="D83" s="110">
        <v>0.002223454342946678</v>
      </c>
      <c r="E83" s="110">
        <v>2.525044807036845</v>
      </c>
      <c r="F83" s="88" t="s">
        <v>2714</v>
      </c>
      <c r="G83" s="88" t="b">
        <v>0</v>
      </c>
      <c r="H83" s="88" t="b">
        <v>0</v>
      </c>
      <c r="I83" s="88" t="b">
        <v>0</v>
      </c>
      <c r="J83" s="88" t="b">
        <v>0</v>
      </c>
      <c r="K83" s="88" t="b">
        <v>0</v>
      </c>
      <c r="L83" s="88" t="b">
        <v>0</v>
      </c>
    </row>
    <row r="84" spans="1:12" ht="15">
      <c r="A84" s="83" t="s">
        <v>2435</v>
      </c>
      <c r="B84" s="88" t="s">
        <v>2463</v>
      </c>
      <c r="C84" s="88">
        <v>5</v>
      </c>
      <c r="D84" s="110">
        <v>0.002223454342946678</v>
      </c>
      <c r="E84" s="110">
        <v>2.525044807036845</v>
      </c>
      <c r="F84" s="88" t="s">
        <v>2714</v>
      </c>
      <c r="G84" s="88" t="b">
        <v>0</v>
      </c>
      <c r="H84" s="88" t="b">
        <v>0</v>
      </c>
      <c r="I84" s="88" t="b">
        <v>0</v>
      </c>
      <c r="J84" s="88" t="b">
        <v>0</v>
      </c>
      <c r="K84" s="88" t="b">
        <v>0</v>
      </c>
      <c r="L84" s="88" t="b">
        <v>0</v>
      </c>
    </row>
    <row r="85" spans="1:12" ht="15">
      <c r="A85" s="83" t="s">
        <v>2463</v>
      </c>
      <c r="B85" s="88" t="s">
        <v>1968</v>
      </c>
      <c r="C85" s="88">
        <v>5</v>
      </c>
      <c r="D85" s="110">
        <v>0.002223454342946678</v>
      </c>
      <c r="E85" s="110">
        <v>1.6165597881581955</v>
      </c>
      <c r="F85" s="88" t="s">
        <v>2714</v>
      </c>
      <c r="G85" s="88" t="b">
        <v>0</v>
      </c>
      <c r="H85" s="88" t="b">
        <v>0</v>
      </c>
      <c r="I85" s="88" t="b">
        <v>0</v>
      </c>
      <c r="J85" s="88" t="b">
        <v>0</v>
      </c>
      <c r="K85" s="88" t="b">
        <v>0</v>
      </c>
      <c r="L85" s="88" t="b">
        <v>0</v>
      </c>
    </row>
    <row r="86" spans="1:12" ht="15">
      <c r="A86" s="83" t="s">
        <v>1969</v>
      </c>
      <c r="B86" s="88" t="s">
        <v>2027</v>
      </c>
      <c r="C86" s="88">
        <v>5</v>
      </c>
      <c r="D86" s="110">
        <v>0.002223454342946678</v>
      </c>
      <c r="E86" s="110">
        <v>1.4758267843666637</v>
      </c>
      <c r="F86" s="88" t="s">
        <v>2714</v>
      </c>
      <c r="G86" s="88" t="b">
        <v>0</v>
      </c>
      <c r="H86" s="88" t="b">
        <v>0</v>
      </c>
      <c r="I86" s="88" t="b">
        <v>0</v>
      </c>
      <c r="J86" s="88" t="b">
        <v>0</v>
      </c>
      <c r="K86" s="88" t="b">
        <v>0</v>
      </c>
      <c r="L86" s="88" t="b">
        <v>0</v>
      </c>
    </row>
    <row r="87" spans="1:12" ht="15">
      <c r="A87" s="83" t="s">
        <v>2027</v>
      </c>
      <c r="B87" s="88" t="s">
        <v>2028</v>
      </c>
      <c r="C87" s="88">
        <v>5</v>
      </c>
      <c r="D87" s="110">
        <v>0.002223454342946678</v>
      </c>
      <c r="E87" s="110">
        <v>2.337524086200382</v>
      </c>
      <c r="F87" s="88" t="s">
        <v>2714</v>
      </c>
      <c r="G87" s="88" t="b">
        <v>0</v>
      </c>
      <c r="H87" s="88" t="b">
        <v>0</v>
      </c>
      <c r="I87" s="88" t="b">
        <v>0</v>
      </c>
      <c r="J87" s="88" t="b">
        <v>0</v>
      </c>
      <c r="K87" s="88" t="b">
        <v>0</v>
      </c>
      <c r="L87" s="88" t="b">
        <v>0</v>
      </c>
    </row>
    <row r="88" spans="1:12" ht="15">
      <c r="A88" s="83" t="s">
        <v>2445</v>
      </c>
      <c r="B88" s="88" t="s">
        <v>2465</v>
      </c>
      <c r="C88" s="88">
        <v>5</v>
      </c>
      <c r="D88" s="110">
        <v>0.002223454342946678</v>
      </c>
      <c r="E88" s="110">
        <v>2.7468935566532013</v>
      </c>
      <c r="F88" s="88" t="s">
        <v>2714</v>
      </c>
      <c r="G88" s="88" t="b">
        <v>0</v>
      </c>
      <c r="H88" s="88" t="b">
        <v>0</v>
      </c>
      <c r="I88" s="88" t="b">
        <v>0</v>
      </c>
      <c r="J88" s="88" t="b">
        <v>0</v>
      </c>
      <c r="K88" s="88" t="b">
        <v>0</v>
      </c>
      <c r="L88" s="88" t="b">
        <v>0</v>
      </c>
    </row>
    <row r="89" spans="1:12" ht="15">
      <c r="A89" s="83" t="s">
        <v>2466</v>
      </c>
      <c r="B89" s="88" t="s">
        <v>2437</v>
      </c>
      <c r="C89" s="88">
        <v>5</v>
      </c>
      <c r="D89" s="110">
        <v>0.002223454342946678</v>
      </c>
      <c r="E89" s="110">
        <v>2.6219548200449014</v>
      </c>
      <c r="F89" s="88" t="s">
        <v>2714</v>
      </c>
      <c r="G89" s="88" t="b">
        <v>0</v>
      </c>
      <c r="H89" s="88" t="b">
        <v>0</v>
      </c>
      <c r="I89" s="88" t="b">
        <v>0</v>
      </c>
      <c r="J89" s="88" t="b">
        <v>0</v>
      </c>
      <c r="K89" s="88" t="b">
        <v>0</v>
      </c>
      <c r="L89" s="88" t="b">
        <v>0</v>
      </c>
    </row>
    <row r="90" spans="1:12" ht="15">
      <c r="A90" s="83" t="s">
        <v>2426</v>
      </c>
      <c r="B90" s="88" t="s">
        <v>2438</v>
      </c>
      <c r="C90" s="88">
        <v>5</v>
      </c>
      <c r="D90" s="110">
        <v>0.002223454342946678</v>
      </c>
      <c r="E90" s="110">
        <v>1.4758267843666637</v>
      </c>
      <c r="F90" s="88" t="s">
        <v>2714</v>
      </c>
      <c r="G90" s="88" t="b">
        <v>0</v>
      </c>
      <c r="H90" s="88" t="b">
        <v>0</v>
      </c>
      <c r="I90" s="88" t="b">
        <v>0</v>
      </c>
      <c r="J90" s="88" t="b">
        <v>0</v>
      </c>
      <c r="K90" s="88" t="b">
        <v>0</v>
      </c>
      <c r="L90" s="88" t="b">
        <v>0</v>
      </c>
    </row>
    <row r="91" spans="1:12" ht="15">
      <c r="A91" s="83" t="s">
        <v>1944</v>
      </c>
      <c r="B91" s="88" t="s">
        <v>2434</v>
      </c>
      <c r="C91" s="88">
        <v>5</v>
      </c>
      <c r="D91" s="110">
        <v>0.002223454342946678</v>
      </c>
      <c r="E91" s="110">
        <v>0.8615323366216896</v>
      </c>
      <c r="F91" s="88" t="s">
        <v>2714</v>
      </c>
      <c r="G91" s="88" t="b">
        <v>0</v>
      </c>
      <c r="H91" s="88" t="b">
        <v>0</v>
      </c>
      <c r="I91" s="88" t="b">
        <v>0</v>
      </c>
      <c r="J91" s="88" t="b">
        <v>0</v>
      </c>
      <c r="K91" s="88" t="b">
        <v>0</v>
      </c>
      <c r="L91" s="88" t="b">
        <v>0</v>
      </c>
    </row>
    <row r="92" spans="1:12" ht="15">
      <c r="A92" s="83" t="s">
        <v>1944</v>
      </c>
      <c r="B92" s="88" t="s">
        <v>1964</v>
      </c>
      <c r="C92" s="88">
        <v>4</v>
      </c>
      <c r="D92" s="110">
        <v>0.0018883591916409798</v>
      </c>
      <c r="E92" s="110">
        <v>-0.3657114448813729</v>
      </c>
      <c r="F92" s="88" t="s">
        <v>2714</v>
      </c>
      <c r="G92" s="88" t="b">
        <v>0</v>
      </c>
      <c r="H92" s="88" t="b">
        <v>0</v>
      </c>
      <c r="I92" s="88" t="b">
        <v>0</v>
      </c>
      <c r="J92" s="88" t="b">
        <v>0</v>
      </c>
      <c r="K92" s="88" t="b">
        <v>0</v>
      </c>
      <c r="L92" s="88" t="b">
        <v>0</v>
      </c>
    </row>
    <row r="93" spans="1:12" ht="15">
      <c r="A93" s="83" t="s">
        <v>2444</v>
      </c>
      <c r="B93" s="88" t="s">
        <v>2478</v>
      </c>
      <c r="C93" s="88">
        <v>4</v>
      </c>
      <c r="D93" s="110">
        <v>0.0018883591916409798</v>
      </c>
      <c r="E93" s="110">
        <v>2.6799467670225883</v>
      </c>
      <c r="F93" s="88" t="s">
        <v>2714</v>
      </c>
      <c r="G93" s="88" t="b">
        <v>0</v>
      </c>
      <c r="H93" s="88" t="b">
        <v>0</v>
      </c>
      <c r="I93" s="88" t="b">
        <v>0</v>
      </c>
      <c r="J93" s="88" t="b">
        <v>0</v>
      </c>
      <c r="K93" s="88" t="b">
        <v>0</v>
      </c>
      <c r="L93" s="88" t="b">
        <v>0</v>
      </c>
    </row>
    <row r="94" spans="1:12" ht="15">
      <c r="A94" s="83" t="s">
        <v>2478</v>
      </c>
      <c r="B94" s="88" t="s">
        <v>2479</v>
      </c>
      <c r="C94" s="88">
        <v>4</v>
      </c>
      <c r="D94" s="110">
        <v>0.0018883591916409798</v>
      </c>
      <c r="E94" s="110">
        <v>2.9229848157088827</v>
      </c>
      <c r="F94" s="88" t="s">
        <v>2714</v>
      </c>
      <c r="G94" s="88" t="b">
        <v>0</v>
      </c>
      <c r="H94" s="88" t="b">
        <v>0</v>
      </c>
      <c r="I94" s="88" t="b">
        <v>0</v>
      </c>
      <c r="J94" s="88" t="b">
        <v>0</v>
      </c>
      <c r="K94" s="88" t="b">
        <v>0</v>
      </c>
      <c r="L94" s="88" t="b">
        <v>0</v>
      </c>
    </row>
    <row r="95" spans="1:12" ht="15">
      <c r="A95" s="83" t="s">
        <v>2479</v>
      </c>
      <c r="B95" s="88" t="s">
        <v>2480</v>
      </c>
      <c r="C95" s="88">
        <v>4</v>
      </c>
      <c r="D95" s="110">
        <v>0.0018883591916409798</v>
      </c>
      <c r="E95" s="110">
        <v>2.9229848157088827</v>
      </c>
      <c r="F95" s="88" t="s">
        <v>2714</v>
      </c>
      <c r="G95" s="88" t="b">
        <v>0</v>
      </c>
      <c r="H95" s="88" t="b">
        <v>0</v>
      </c>
      <c r="I95" s="88" t="b">
        <v>0</v>
      </c>
      <c r="J95" s="88" t="b">
        <v>0</v>
      </c>
      <c r="K95" s="88" t="b">
        <v>0</v>
      </c>
      <c r="L95" s="88" t="b">
        <v>0</v>
      </c>
    </row>
    <row r="96" spans="1:12" ht="15">
      <c r="A96" s="83" t="s">
        <v>2480</v>
      </c>
      <c r="B96" s="88" t="s">
        <v>2481</v>
      </c>
      <c r="C96" s="88">
        <v>4</v>
      </c>
      <c r="D96" s="110">
        <v>0.0018883591916409798</v>
      </c>
      <c r="E96" s="110">
        <v>2.9229848157088827</v>
      </c>
      <c r="F96" s="88" t="s">
        <v>2714</v>
      </c>
      <c r="G96" s="88" t="b">
        <v>0</v>
      </c>
      <c r="H96" s="88" t="b">
        <v>0</v>
      </c>
      <c r="I96" s="88" t="b">
        <v>0</v>
      </c>
      <c r="J96" s="88" t="b">
        <v>0</v>
      </c>
      <c r="K96" s="88" t="b">
        <v>0</v>
      </c>
      <c r="L96" s="88" t="b">
        <v>0</v>
      </c>
    </row>
    <row r="97" spans="1:12" ht="15">
      <c r="A97" s="83" t="s">
        <v>2481</v>
      </c>
      <c r="B97" s="88" t="s">
        <v>2482</v>
      </c>
      <c r="C97" s="88">
        <v>4</v>
      </c>
      <c r="D97" s="110">
        <v>0.0018883591916409798</v>
      </c>
      <c r="E97" s="110">
        <v>2.9229848157088827</v>
      </c>
      <c r="F97" s="88" t="s">
        <v>2714</v>
      </c>
      <c r="G97" s="88" t="b">
        <v>0</v>
      </c>
      <c r="H97" s="88" t="b">
        <v>0</v>
      </c>
      <c r="I97" s="88" t="b">
        <v>0</v>
      </c>
      <c r="J97" s="88" t="b">
        <v>0</v>
      </c>
      <c r="K97" s="88" t="b">
        <v>0</v>
      </c>
      <c r="L97" s="88" t="b">
        <v>0</v>
      </c>
    </row>
    <row r="98" spans="1:12" ht="15">
      <c r="A98" s="83" t="s">
        <v>2482</v>
      </c>
      <c r="B98" s="88" t="s">
        <v>2483</v>
      </c>
      <c r="C98" s="88">
        <v>4</v>
      </c>
      <c r="D98" s="110">
        <v>0.0018883591916409798</v>
      </c>
      <c r="E98" s="110">
        <v>2.9229848157088827</v>
      </c>
      <c r="F98" s="88" t="s">
        <v>2714</v>
      </c>
      <c r="G98" s="88" t="b">
        <v>0</v>
      </c>
      <c r="H98" s="88" t="b">
        <v>0</v>
      </c>
      <c r="I98" s="88" t="b">
        <v>0</v>
      </c>
      <c r="J98" s="88" t="b">
        <v>0</v>
      </c>
      <c r="K98" s="88" t="b">
        <v>0</v>
      </c>
      <c r="L98" s="88" t="b">
        <v>0</v>
      </c>
    </row>
    <row r="99" spans="1:12" ht="15">
      <c r="A99" s="83" t="s">
        <v>2483</v>
      </c>
      <c r="B99" s="88" t="s">
        <v>2484</v>
      </c>
      <c r="C99" s="88">
        <v>4</v>
      </c>
      <c r="D99" s="110">
        <v>0.0018883591916409798</v>
      </c>
      <c r="E99" s="110">
        <v>2.9229848157088827</v>
      </c>
      <c r="F99" s="88" t="s">
        <v>2714</v>
      </c>
      <c r="G99" s="88" t="b">
        <v>0</v>
      </c>
      <c r="H99" s="88" t="b">
        <v>0</v>
      </c>
      <c r="I99" s="88" t="b">
        <v>0</v>
      </c>
      <c r="J99" s="88" t="b">
        <v>0</v>
      </c>
      <c r="K99" s="88" t="b">
        <v>0</v>
      </c>
      <c r="L99" s="88" t="b">
        <v>0</v>
      </c>
    </row>
    <row r="100" spans="1:12" ht="15">
      <c r="A100" s="83" t="s">
        <v>2484</v>
      </c>
      <c r="B100" s="88" t="s">
        <v>2467</v>
      </c>
      <c r="C100" s="88">
        <v>4</v>
      </c>
      <c r="D100" s="110">
        <v>0.0018883591916409798</v>
      </c>
      <c r="E100" s="110">
        <v>2.8260748027008264</v>
      </c>
      <c r="F100" s="88" t="s">
        <v>2714</v>
      </c>
      <c r="G100" s="88" t="b">
        <v>0</v>
      </c>
      <c r="H100" s="88" t="b">
        <v>0</v>
      </c>
      <c r="I100" s="88" t="b">
        <v>0</v>
      </c>
      <c r="J100" s="88" t="b">
        <v>1</v>
      </c>
      <c r="K100" s="88" t="b">
        <v>0</v>
      </c>
      <c r="L100" s="88" t="b">
        <v>0</v>
      </c>
    </row>
    <row r="101" spans="1:12" ht="15">
      <c r="A101" s="83" t="s">
        <v>2467</v>
      </c>
      <c r="B101" s="88" t="s">
        <v>1967</v>
      </c>
      <c r="C101" s="88">
        <v>4</v>
      </c>
      <c r="D101" s="110">
        <v>0.0018883591916409798</v>
      </c>
      <c r="E101" s="110">
        <v>1.469093401707695</v>
      </c>
      <c r="F101" s="88" t="s">
        <v>2714</v>
      </c>
      <c r="G101" s="88" t="b">
        <v>1</v>
      </c>
      <c r="H101" s="88" t="b">
        <v>0</v>
      </c>
      <c r="I101" s="88" t="b">
        <v>0</v>
      </c>
      <c r="J101" s="88" t="b">
        <v>0</v>
      </c>
      <c r="K101" s="88" t="b">
        <v>0</v>
      </c>
      <c r="L101" s="88" t="b">
        <v>0</v>
      </c>
    </row>
    <row r="102" spans="1:12" ht="15">
      <c r="A102" s="83" t="s">
        <v>1944</v>
      </c>
      <c r="B102" s="88" t="s">
        <v>2485</v>
      </c>
      <c r="C102" s="88">
        <v>4</v>
      </c>
      <c r="D102" s="110">
        <v>0.0018883591916409798</v>
      </c>
      <c r="E102" s="110">
        <v>1.2417435783332957</v>
      </c>
      <c r="F102" s="88" t="s">
        <v>2714</v>
      </c>
      <c r="G102" s="88" t="b">
        <v>0</v>
      </c>
      <c r="H102" s="88" t="b">
        <v>0</v>
      </c>
      <c r="I102" s="88" t="b">
        <v>0</v>
      </c>
      <c r="J102" s="88" t="b">
        <v>0</v>
      </c>
      <c r="K102" s="88" t="b">
        <v>0</v>
      </c>
      <c r="L102" s="88" t="b">
        <v>0</v>
      </c>
    </row>
    <row r="103" spans="1:12" ht="15">
      <c r="A103" s="83" t="s">
        <v>2485</v>
      </c>
      <c r="B103" s="88" t="s">
        <v>2468</v>
      </c>
      <c r="C103" s="88">
        <v>4</v>
      </c>
      <c r="D103" s="110">
        <v>0.0018883591916409798</v>
      </c>
      <c r="E103" s="110">
        <v>2.8260748027008264</v>
      </c>
      <c r="F103" s="88" t="s">
        <v>2714</v>
      </c>
      <c r="G103" s="88" t="b">
        <v>0</v>
      </c>
      <c r="H103" s="88" t="b">
        <v>0</v>
      </c>
      <c r="I103" s="88" t="b">
        <v>0</v>
      </c>
      <c r="J103" s="88" t="b">
        <v>0</v>
      </c>
      <c r="K103" s="88" t="b">
        <v>0</v>
      </c>
      <c r="L103" s="88" t="b">
        <v>0</v>
      </c>
    </row>
    <row r="104" spans="1:12" ht="15">
      <c r="A104" s="83" t="s">
        <v>2468</v>
      </c>
      <c r="B104" s="88" t="s">
        <v>2486</v>
      </c>
      <c r="C104" s="88">
        <v>4</v>
      </c>
      <c r="D104" s="110">
        <v>0.0018883591916409798</v>
      </c>
      <c r="E104" s="110">
        <v>2.8260748027008264</v>
      </c>
      <c r="F104" s="88" t="s">
        <v>2714</v>
      </c>
      <c r="G104" s="88" t="b">
        <v>0</v>
      </c>
      <c r="H104" s="88" t="b">
        <v>0</v>
      </c>
      <c r="I104" s="88" t="b">
        <v>0</v>
      </c>
      <c r="J104" s="88" t="b">
        <v>0</v>
      </c>
      <c r="K104" s="88" t="b">
        <v>0</v>
      </c>
      <c r="L104" s="88" t="b">
        <v>0</v>
      </c>
    </row>
    <row r="105" spans="1:12" ht="15">
      <c r="A105" s="83" t="s">
        <v>2486</v>
      </c>
      <c r="B105" s="88" t="s">
        <v>381</v>
      </c>
      <c r="C105" s="88">
        <v>4</v>
      </c>
      <c r="D105" s="110">
        <v>0.0018883591916409798</v>
      </c>
      <c r="E105" s="110">
        <v>2.9229848157088827</v>
      </c>
      <c r="F105" s="88" t="s">
        <v>2714</v>
      </c>
      <c r="G105" s="88" t="b">
        <v>0</v>
      </c>
      <c r="H105" s="88" t="b">
        <v>0</v>
      </c>
      <c r="I105" s="88" t="b">
        <v>0</v>
      </c>
      <c r="J105" s="88" t="b">
        <v>0</v>
      </c>
      <c r="K105" s="88" t="b">
        <v>0</v>
      </c>
      <c r="L105" s="88" t="b">
        <v>0</v>
      </c>
    </row>
    <row r="106" spans="1:12" ht="15">
      <c r="A106" s="83" t="s">
        <v>381</v>
      </c>
      <c r="B106" s="88" t="s">
        <v>380</v>
      </c>
      <c r="C106" s="88">
        <v>4</v>
      </c>
      <c r="D106" s="110">
        <v>0.0018883591916409798</v>
      </c>
      <c r="E106" s="110">
        <v>2.9229848157088827</v>
      </c>
      <c r="F106" s="88" t="s">
        <v>2714</v>
      </c>
      <c r="G106" s="88" t="b">
        <v>0</v>
      </c>
      <c r="H106" s="88" t="b">
        <v>0</v>
      </c>
      <c r="I106" s="88" t="b">
        <v>0</v>
      </c>
      <c r="J106" s="88" t="b">
        <v>0</v>
      </c>
      <c r="K106" s="88" t="b">
        <v>0</v>
      </c>
      <c r="L106" s="88" t="b">
        <v>0</v>
      </c>
    </row>
    <row r="107" spans="1:12" ht="15">
      <c r="A107" s="83" t="s">
        <v>380</v>
      </c>
      <c r="B107" s="88" t="s">
        <v>1984</v>
      </c>
      <c r="C107" s="88">
        <v>4</v>
      </c>
      <c r="D107" s="110">
        <v>0.0018883591916409798</v>
      </c>
      <c r="E107" s="110">
        <v>2.2945958856585715</v>
      </c>
      <c r="F107" s="88" t="s">
        <v>2714</v>
      </c>
      <c r="G107" s="88" t="b">
        <v>0</v>
      </c>
      <c r="H107" s="88" t="b">
        <v>0</v>
      </c>
      <c r="I107" s="88" t="b">
        <v>0</v>
      </c>
      <c r="J107" s="88" t="b">
        <v>0</v>
      </c>
      <c r="K107" s="88" t="b">
        <v>0</v>
      </c>
      <c r="L107" s="88" t="b">
        <v>0</v>
      </c>
    </row>
    <row r="108" spans="1:12" ht="15">
      <c r="A108" s="83" t="s">
        <v>1984</v>
      </c>
      <c r="B108" s="88" t="s">
        <v>2487</v>
      </c>
      <c r="C108" s="88">
        <v>4</v>
      </c>
      <c r="D108" s="110">
        <v>0.0018883591916409798</v>
      </c>
      <c r="E108" s="110">
        <v>2.2945958856585715</v>
      </c>
      <c r="F108" s="88" t="s">
        <v>2714</v>
      </c>
      <c r="G108" s="88" t="b">
        <v>0</v>
      </c>
      <c r="H108" s="88" t="b">
        <v>0</v>
      </c>
      <c r="I108" s="88" t="b">
        <v>0</v>
      </c>
      <c r="J108" s="88" t="b">
        <v>1</v>
      </c>
      <c r="K108" s="88" t="b">
        <v>0</v>
      </c>
      <c r="L108" s="88" t="b">
        <v>0</v>
      </c>
    </row>
    <row r="109" spans="1:12" ht="15">
      <c r="A109" s="83" t="s">
        <v>2487</v>
      </c>
      <c r="B109" s="88" t="s">
        <v>2488</v>
      </c>
      <c r="C109" s="88">
        <v>4</v>
      </c>
      <c r="D109" s="110">
        <v>0.0018883591916409798</v>
      </c>
      <c r="E109" s="110">
        <v>2.9229848157088827</v>
      </c>
      <c r="F109" s="88" t="s">
        <v>2714</v>
      </c>
      <c r="G109" s="88" t="b">
        <v>1</v>
      </c>
      <c r="H109" s="88" t="b">
        <v>0</v>
      </c>
      <c r="I109" s="88" t="b">
        <v>0</v>
      </c>
      <c r="J109" s="88" t="b">
        <v>1</v>
      </c>
      <c r="K109" s="88" t="b">
        <v>0</v>
      </c>
      <c r="L109" s="88" t="b">
        <v>0</v>
      </c>
    </row>
    <row r="110" spans="1:12" ht="15">
      <c r="A110" s="83" t="s">
        <v>2488</v>
      </c>
      <c r="B110" s="88" t="s">
        <v>1986</v>
      </c>
      <c r="C110" s="88">
        <v>4</v>
      </c>
      <c r="D110" s="110">
        <v>0.0018883591916409798</v>
      </c>
      <c r="E110" s="110">
        <v>2.6799467670225883</v>
      </c>
      <c r="F110" s="88" t="s">
        <v>2714</v>
      </c>
      <c r="G110" s="88" t="b">
        <v>1</v>
      </c>
      <c r="H110" s="88" t="b">
        <v>0</v>
      </c>
      <c r="I110" s="88" t="b">
        <v>0</v>
      </c>
      <c r="J110" s="88" t="b">
        <v>0</v>
      </c>
      <c r="K110" s="88" t="b">
        <v>0</v>
      </c>
      <c r="L110" s="88" t="b">
        <v>0</v>
      </c>
    </row>
    <row r="111" spans="1:12" ht="15">
      <c r="A111" s="83" t="s">
        <v>1986</v>
      </c>
      <c r="B111" s="88" t="s">
        <v>2489</v>
      </c>
      <c r="C111" s="88">
        <v>4</v>
      </c>
      <c r="D111" s="110">
        <v>0.0018883591916409798</v>
      </c>
      <c r="E111" s="110">
        <v>2.6799467670225883</v>
      </c>
      <c r="F111" s="88" t="s">
        <v>2714</v>
      </c>
      <c r="G111" s="88" t="b">
        <v>0</v>
      </c>
      <c r="H111" s="88" t="b">
        <v>0</v>
      </c>
      <c r="I111" s="88" t="b">
        <v>0</v>
      </c>
      <c r="J111" s="88" t="b">
        <v>0</v>
      </c>
      <c r="K111" s="88" t="b">
        <v>0</v>
      </c>
      <c r="L111" s="88" t="b">
        <v>0</v>
      </c>
    </row>
    <row r="112" spans="1:12" ht="15">
      <c r="A112" s="83" t="s">
        <v>2465</v>
      </c>
      <c r="B112" s="88" t="s">
        <v>2494</v>
      </c>
      <c r="C112" s="88">
        <v>4</v>
      </c>
      <c r="D112" s="110">
        <v>0.0018883591916409798</v>
      </c>
      <c r="E112" s="110">
        <v>2.8260748027008264</v>
      </c>
      <c r="F112" s="88" t="s">
        <v>2714</v>
      </c>
      <c r="G112" s="88" t="b">
        <v>0</v>
      </c>
      <c r="H112" s="88" t="b">
        <v>0</v>
      </c>
      <c r="I112" s="88" t="b">
        <v>0</v>
      </c>
      <c r="J112" s="88" t="b">
        <v>0</v>
      </c>
      <c r="K112" s="88" t="b">
        <v>0</v>
      </c>
      <c r="L112" s="88" t="b">
        <v>0</v>
      </c>
    </row>
    <row r="113" spans="1:12" ht="15">
      <c r="A113" s="83" t="s">
        <v>2494</v>
      </c>
      <c r="B113" s="88" t="s">
        <v>2466</v>
      </c>
      <c r="C113" s="88">
        <v>4</v>
      </c>
      <c r="D113" s="110">
        <v>0.0018883591916409798</v>
      </c>
      <c r="E113" s="110">
        <v>2.8260748027008264</v>
      </c>
      <c r="F113" s="88" t="s">
        <v>2714</v>
      </c>
      <c r="G113" s="88" t="b">
        <v>0</v>
      </c>
      <c r="H113" s="88" t="b">
        <v>0</v>
      </c>
      <c r="I113" s="88" t="b">
        <v>0</v>
      </c>
      <c r="J113" s="88" t="b">
        <v>0</v>
      </c>
      <c r="K113" s="88" t="b">
        <v>0</v>
      </c>
      <c r="L113" s="88" t="b">
        <v>0</v>
      </c>
    </row>
    <row r="114" spans="1:12" ht="15">
      <c r="A114" s="83" t="s">
        <v>2437</v>
      </c>
      <c r="B114" s="88" t="s">
        <v>2443</v>
      </c>
      <c r="C114" s="88">
        <v>4</v>
      </c>
      <c r="D114" s="110">
        <v>0.0018883591916409798</v>
      </c>
      <c r="E114" s="110">
        <v>2.4458635609892205</v>
      </c>
      <c r="F114" s="88" t="s">
        <v>2714</v>
      </c>
      <c r="G114" s="88" t="b">
        <v>0</v>
      </c>
      <c r="H114" s="88" t="b">
        <v>0</v>
      </c>
      <c r="I114" s="88" t="b">
        <v>0</v>
      </c>
      <c r="J114" s="88" t="b">
        <v>0</v>
      </c>
      <c r="K114" s="88" t="b">
        <v>0</v>
      </c>
      <c r="L114" s="88" t="b">
        <v>0</v>
      </c>
    </row>
    <row r="115" spans="1:12" ht="15">
      <c r="A115" s="83" t="s">
        <v>2443</v>
      </c>
      <c r="B115" s="88" t="s">
        <v>1944</v>
      </c>
      <c r="C115" s="88">
        <v>4</v>
      </c>
      <c r="D115" s="110">
        <v>0.0018883591916409798</v>
      </c>
      <c r="E115" s="110">
        <v>0.9831536819408442</v>
      </c>
      <c r="F115" s="88" t="s">
        <v>2714</v>
      </c>
      <c r="G115" s="88" t="b">
        <v>0</v>
      </c>
      <c r="H115" s="88" t="b">
        <v>0</v>
      </c>
      <c r="I115" s="88" t="b">
        <v>0</v>
      </c>
      <c r="J115" s="88" t="b">
        <v>0</v>
      </c>
      <c r="K115" s="88" t="b">
        <v>0</v>
      </c>
      <c r="L115" s="88" t="b">
        <v>0</v>
      </c>
    </row>
    <row r="116" spans="1:12" ht="15">
      <c r="A116" s="83" t="s">
        <v>1944</v>
      </c>
      <c r="B116" s="88" t="s">
        <v>2499</v>
      </c>
      <c r="C116" s="88">
        <v>4</v>
      </c>
      <c r="D116" s="110">
        <v>0.0018883591916409798</v>
      </c>
      <c r="E116" s="110">
        <v>1.2417435783332957</v>
      </c>
      <c r="F116" s="88" t="s">
        <v>2714</v>
      </c>
      <c r="G116" s="88" t="b">
        <v>0</v>
      </c>
      <c r="H116" s="88" t="b">
        <v>0</v>
      </c>
      <c r="I116" s="88" t="b">
        <v>0</v>
      </c>
      <c r="J116" s="88" t="b">
        <v>0</v>
      </c>
      <c r="K116" s="88" t="b">
        <v>0</v>
      </c>
      <c r="L116" s="88" t="b">
        <v>0</v>
      </c>
    </row>
    <row r="117" spans="1:12" ht="15">
      <c r="A117" s="83" t="s">
        <v>2021</v>
      </c>
      <c r="B117" s="88" t="s">
        <v>2017</v>
      </c>
      <c r="C117" s="88">
        <v>3</v>
      </c>
      <c r="D117" s="110">
        <v>0.0015222394841533813</v>
      </c>
      <c r="E117" s="110">
        <v>2.60422605308447</v>
      </c>
      <c r="F117" s="88" t="s">
        <v>2714</v>
      </c>
      <c r="G117" s="88" t="b">
        <v>0</v>
      </c>
      <c r="H117" s="88" t="b">
        <v>0</v>
      </c>
      <c r="I117" s="88" t="b">
        <v>0</v>
      </c>
      <c r="J117" s="88" t="b">
        <v>0</v>
      </c>
      <c r="K117" s="88" t="b">
        <v>0</v>
      </c>
      <c r="L117" s="88" t="b">
        <v>0</v>
      </c>
    </row>
    <row r="118" spans="1:12" ht="15">
      <c r="A118" s="83" t="s">
        <v>2514</v>
      </c>
      <c r="B118" s="88" t="s">
        <v>1991</v>
      </c>
      <c r="C118" s="88">
        <v>3</v>
      </c>
      <c r="D118" s="110">
        <v>0.0015222394841533813</v>
      </c>
      <c r="E118" s="110">
        <v>2.2945958856585715</v>
      </c>
      <c r="F118" s="88" t="s">
        <v>2714</v>
      </c>
      <c r="G118" s="88" t="b">
        <v>0</v>
      </c>
      <c r="H118" s="88" t="b">
        <v>0</v>
      </c>
      <c r="I118" s="88" t="b">
        <v>0</v>
      </c>
      <c r="J118" s="88" t="b">
        <v>0</v>
      </c>
      <c r="K118" s="88" t="b">
        <v>0</v>
      </c>
      <c r="L118" s="88" t="b">
        <v>0</v>
      </c>
    </row>
    <row r="119" spans="1:12" ht="15">
      <c r="A119" s="83" t="s">
        <v>1991</v>
      </c>
      <c r="B119" s="88" t="s">
        <v>2515</v>
      </c>
      <c r="C119" s="88">
        <v>3</v>
      </c>
      <c r="D119" s="110">
        <v>0.0015222394841533813</v>
      </c>
      <c r="E119" s="110">
        <v>2.2945958856585715</v>
      </c>
      <c r="F119" s="88" t="s">
        <v>2714</v>
      </c>
      <c r="G119" s="88" t="b">
        <v>0</v>
      </c>
      <c r="H119" s="88" t="b">
        <v>0</v>
      </c>
      <c r="I119" s="88" t="b">
        <v>0</v>
      </c>
      <c r="J119" s="88" t="b">
        <v>0</v>
      </c>
      <c r="K119" s="88" t="b">
        <v>0</v>
      </c>
      <c r="L119" s="88" t="b">
        <v>0</v>
      </c>
    </row>
    <row r="120" spans="1:12" ht="15">
      <c r="A120" s="83" t="s">
        <v>2515</v>
      </c>
      <c r="B120" s="88" t="s">
        <v>1985</v>
      </c>
      <c r="C120" s="88">
        <v>3</v>
      </c>
      <c r="D120" s="110">
        <v>0.0015222394841533813</v>
      </c>
      <c r="E120" s="110">
        <v>2.746893556653202</v>
      </c>
      <c r="F120" s="88" t="s">
        <v>2714</v>
      </c>
      <c r="G120" s="88" t="b">
        <v>0</v>
      </c>
      <c r="H120" s="88" t="b">
        <v>0</v>
      </c>
      <c r="I120" s="88" t="b">
        <v>0</v>
      </c>
      <c r="J120" s="88" t="b">
        <v>0</v>
      </c>
      <c r="K120" s="88" t="b">
        <v>0</v>
      </c>
      <c r="L120" s="88" t="b">
        <v>0</v>
      </c>
    </row>
    <row r="121" spans="1:12" ht="15">
      <c r="A121" s="83" t="s">
        <v>1985</v>
      </c>
      <c r="B121" s="88" t="s">
        <v>1985</v>
      </c>
      <c r="C121" s="88">
        <v>3</v>
      </c>
      <c r="D121" s="110">
        <v>0.0015222394841533813</v>
      </c>
      <c r="E121" s="110">
        <v>2.3209248243809206</v>
      </c>
      <c r="F121" s="88" t="s">
        <v>2714</v>
      </c>
      <c r="G121" s="88" t="b">
        <v>0</v>
      </c>
      <c r="H121" s="88" t="b">
        <v>0</v>
      </c>
      <c r="I121" s="88" t="b">
        <v>0</v>
      </c>
      <c r="J121" s="88" t="b">
        <v>0</v>
      </c>
      <c r="K121" s="88" t="b">
        <v>0</v>
      </c>
      <c r="L121" s="88" t="b">
        <v>0</v>
      </c>
    </row>
    <row r="122" spans="1:12" ht="15">
      <c r="A122" s="83" t="s">
        <v>1985</v>
      </c>
      <c r="B122" s="88" t="s">
        <v>2516</v>
      </c>
      <c r="C122" s="88">
        <v>3</v>
      </c>
      <c r="D122" s="110">
        <v>0.0015222394841533813</v>
      </c>
      <c r="E122" s="110">
        <v>2.6219548200449014</v>
      </c>
      <c r="F122" s="88" t="s">
        <v>2714</v>
      </c>
      <c r="G122" s="88" t="b">
        <v>0</v>
      </c>
      <c r="H122" s="88" t="b">
        <v>0</v>
      </c>
      <c r="I122" s="88" t="b">
        <v>0</v>
      </c>
      <c r="J122" s="88" t="b">
        <v>0</v>
      </c>
      <c r="K122" s="88" t="b">
        <v>0</v>
      </c>
      <c r="L122" s="88" t="b">
        <v>0</v>
      </c>
    </row>
    <row r="123" spans="1:12" ht="15">
      <c r="A123" s="83" t="s">
        <v>2516</v>
      </c>
      <c r="B123" s="88" t="s">
        <v>2441</v>
      </c>
      <c r="C123" s="88">
        <v>3</v>
      </c>
      <c r="D123" s="110">
        <v>0.0015222394841533813</v>
      </c>
      <c r="E123" s="110">
        <v>2.6799467670225883</v>
      </c>
      <c r="F123" s="88" t="s">
        <v>2714</v>
      </c>
      <c r="G123" s="88" t="b">
        <v>0</v>
      </c>
      <c r="H123" s="88" t="b">
        <v>0</v>
      </c>
      <c r="I123" s="88" t="b">
        <v>0</v>
      </c>
      <c r="J123" s="88" t="b">
        <v>0</v>
      </c>
      <c r="K123" s="88" t="b">
        <v>0</v>
      </c>
      <c r="L123" s="88" t="b">
        <v>0</v>
      </c>
    </row>
    <row r="124" spans="1:12" ht="15">
      <c r="A124" s="83" t="s">
        <v>2441</v>
      </c>
      <c r="B124" s="88" t="s">
        <v>1944</v>
      </c>
      <c r="C124" s="88">
        <v>3</v>
      </c>
      <c r="D124" s="110">
        <v>0.0015222394841533813</v>
      </c>
      <c r="E124" s="110">
        <v>0.8582149453325442</v>
      </c>
      <c r="F124" s="88" t="s">
        <v>2714</v>
      </c>
      <c r="G124" s="88" t="b">
        <v>0</v>
      </c>
      <c r="H124" s="88" t="b">
        <v>0</v>
      </c>
      <c r="I124" s="88" t="b">
        <v>0</v>
      </c>
      <c r="J124" s="88" t="b">
        <v>0</v>
      </c>
      <c r="K124" s="88" t="b">
        <v>0</v>
      </c>
      <c r="L124" s="88" t="b">
        <v>0</v>
      </c>
    </row>
    <row r="125" spans="1:12" ht="15">
      <c r="A125" s="83" t="s">
        <v>1944</v>
      </c>
      <c r="B125" s="88" t="s">
        <v>2517</v>
      </c>
      <c r="C125" s="88">
        <v>3</v>
      </c>
      <c r="D125" s="110">
        <v>0.0015222394841533813</v>
      </c>
      <c r="E125" s="110">
        <v>1.2417435783332957</v>
      </c>
      <c r="F125" s="88" t="s">
        <v>2714</v>
      </c>
      <c r="G125" s="88" t="b">
        <v>0</v>
      </c>
      <c r="H125" s="88" t="b">
        <v>0</v>
      </c>
      <c r="I125" s="88" t="b">
        <v>0</v>
      </c>
      <c r="J125" s="88" t="b">
        <v>0</v>
      </c>
      <c r="K125" s="88" t="b">
        <v>0</v>
      </c>
      <c r="L125" s="88" t="b">
        <v>0</v>
      </c>
    </row>
    <row r="126" spans="1:12" ht="15">
      <c r="A126" s="83" t="s">
        <v>2517</v>
      </c>
      <c r="B126" s="88" t="s">
        <v>1988</v>
      </c>
      <c r="C126" s="88">
        <v>3</v>
      </c>
      <c r="D126" s="110">
        <v>0.0015222394841533813</v>
      </c>
      <c r="E126" s="110">
        <v>2.348953547981164</v>
      </c>
      <c r="F126" s="88" t="s">
        <v>2714</v>
      </c>
      <c r="G126" s="88" t="b">
        <v>0</v>
      </c>
      <c r="H126" s="88" t="b">
        <v>0</v>
      </c>
      <c r="I126" s="88" t="b">
        <v>0</v>
      </c>
      <c r="J126" s="88" t="b">
        <v>0</v>
      </c>
      <c r="K126" s="88" t="b">
        <v>0</v>
      </c>
      <c r="L126" s="88" t="b">
        <v>0</v>
      </c>
    </row>
    <row r="127" spans="1:12" ht="15">
      <c r="A127" s="83" t="s">
        <v>1988</v>
      </c>
      <c r="B127" s="88" t="s">
        <v>2436</v>
      </c>
      <c r="C127" s="88">
        <v>3</v>
      </c>
      <c r="D127" s="110">
        <v>0.0015222394841533813</v>
      </c>
      <c r="E127" s="110">
        <v>1.922984815708883</v>
      </c>
      <c r="F127" s="88" t="s">
        <v>2714</v>
      </c>
      <c r="G127" s="88" t="b">
        <v>0</v>
      </c>
      <c r="H127" s="88" t="b">
        <v>0</v>
      </c>
      <c r="I127" s="88" t="b">
        <v>0</v>
      </c>
      <c r="J127" s="88" t="b">
        <v>0</v>
      </c>
      <c r="K127" s="88" t="b">
        <v>0</v>
      </c>
      <c r="L127" s="88" t="b">
        <v>0</v>
      </c>
    </row>
    <row r="128" spans="1:12" ht="15">
      <c r="A128" s="83" t="s">
        <v>2436</v>
      </c>
      <c r="B128" s="88" t="s">
        <v>1984</v>
      </c>
      <c r="C128" s="88">
        <v>3</v>
      </c>
      <c r="D128" s="110">
        <v>0.0015222394841533813</v>
      </c>
      <c r="E128" s="110">
        <v>1.8686271533862902</v>
      </c>
      <c r="F128" s="88" t="s">
        <v>2714</v>
      </c>
      <c r="G128" s="88" t="b">
        <v>0</v>
      </c>
      <c r="H128" s="88" t="b">
        <v>0</v>
      </c>
      <c r="I128" s="88" t="b">
        <v>0</v>
      </c>
      <c r="J128" s="88" t="b">
        <v>0</v>
      </c>
      <c r="K128" s="88" t="b">
        <v>0</v>
      </c>
      <c r="L128" s="88" t="b">
        <v>0</v>
      </c>
    </row>
    <row r="129" spans="1:12" ht="15">
      <c r="A129" s="83" t="s">
        <v>1984</v>
      </c>
      <c r="B129" s="88" t="s">
        <v>2518</v>
      </c>
      <c r="C129" s="88">
        <v>3</v>
      </c>
      <c r="D129" s="110">
        <v>0.0015222394841533813</v>
      </c>
      <c r="E129" s="110">
        <v>2.2945958856585715</v>
      </c>
      <c r="F129" s="88" t="s">
        <v>2714</v>
      </c>
      <c r="G129" s="88" t="b">
        <v>0</v>
      </c>
      <c r="H129" s="88" t="b">
        <v>0</v>
      </c>
      <c r="I129" s="88" t="b">
        <v>0</v>
      </c>
      <c r="J129" s="88" t="b">
        <v>0</v>
      </c>
      <c r="K129" s="88" t="b">
        <v>0</v>
      </c>
      <c r="L129" s="88" t="b">
        <v>0</v>
      </c>
    </row>
    <row r="130" spans="1:12" ht="15">
      <c r="A130" s="83" t="s">
        <v>2518</v>
      </c>
      <c r="B130" s="88" t="s">
        <v>2519</v>
      </c>
      <c r="C130" s="88">
        <v>3</v>
      </c>
      <c r="D130" s="110">
        <v>0.0015222394841533813</v>
      </c>
      <c r="E130" s="110">
        <v>3.047923552317183</v>
      </c>
      <c r="F130" s="88" t="s">
        <v>2714</v>
      </c>
      <c r="G130" s="88" t="b">
        <v>0</v>
      </c>
      <c r="H130" s="88" t="b">
        <v>0</v>
      </c>
      <c r="I130" s="88" t="b">
        <v>0</v>
      </c>
      <c r="J130" s="88" t="b">
        <v>1</v>
      </c>
      <c r="K130" s="88" t="b">
        <v>0</v>
      </c>
      <c r="L130" s="88" t="b">
        <v>0</v>
      </c>
    </row>
    <row r="131" spans="1:12" ht="15">
      <c r="A131" s="83" t="s">
        <v>2519</v>
      </c>
      <c r="B131" s="88" t="s">
        <v>2520</v>
      </c>
      <c r="C131" s="88">
        <v>3</v>
      </c>
      <c r="D131" s="110">
        <v>0.0015222394841533813</v>
      </c>
      <c r="E131" s="110">
        <v>3.047923552317183</v>
      </c>
      <c r="F131" s="88" t="s">
        <v>2714</v>
      </c>
      <c r="G131" s="88" t="b">
        <v>1</v>
      </c>
      <c r="H131" s="88" t="b">
        <v>0</v>
      </c>
      <c r="I131" s="88" t="b">
        <v>0</v>
      </c>
      <c r="J131" s="88" t="b">
        <v>0</v>
      </c>
      <c r="K131" s="88" t="b">
        <v>0</v>
      </c>
      <c r="L131" s="88" t="b">
        <v>0</v>
      </c>
    </row>
    <row r="132" spans="1:12" ht="15">
      <c r="A132" s="83" t="s">
        <v>2520</v>
      </c>
      <c r="B132" s="88" t="s">
        <v>2521</v>
      </c>
      <c r="C132" s="88">
        <v>3</v>
      </c>
      <c r="D132" s="110">
        <v>0.0015222394841533813</v>
      </c>
      <c r="E132" s="110">
        <v>3.047923552317183</v>
      </c>
      <c r="F132" s="88" t="s">
        <v>2714</v>
      </c>
      <c r="G132" s="88" t="b">
        <v>0</v>
      </c>
      <c r="H132" s="88" t="b">
        <v>0</v>
      </c>
      <c r="I132" s="88" t="b">
        <v>0</v>
      </c>
      <c r="J132" s="88" t="b">
        <v>0</v>
      </c>
      <c r="K132" s="88" t="b">
        <v>0</v>
      </c>
      <c r="L132" s="88" t="b">
        <v>0</v>
      </c>
    </row>
    <row r="133" spans="1:12" ht="15">
      <c r="A133" s="83" t="s">
        <v>2521</v>
      </c>
      <c r="B133" s="88" t="s">
        <v>2522</v>
      </c>
      <c r="C133" s="88">
        <v>3</v>
      </c>
      <c r="D133" s="110">
        <v>0.0015222394841533813</v>
      </c>
      <c r="E133" s="110">
        <v>3.047923552317183</v>
      </c>
      <c r="F133" s="88" t="s">
        <v>2714</v>
      </c>
      <c r="G133" s="88" t="b">
        <v>0</v>
      </c>
      <c r="H133" s="88" t="b">
        <v>0</v>
      </c>
      <c r="I133" s="88" t="b">
        <v>0</v>
      </c>
      <c r="J133" s="88" t="b">
        <v>0</v>
      </c>
      <c r="K133" s="88" t="b">
        <v>0</v>
      </c>
      <c r="L133" s="88" t="b">
        <v>0</v>
      </c>
    </row>
    <row r="134" spans="1:12" ht="15">
      <c r="A134" s="83" t="s">
        <v>2522</v>
      </c>
      <c r="B134" s="88" t="s">
        <v>2477</v>
      </c>
      <c r="C134" s="88">
        <v>3</v>
      </c>
      <c r="D134" s="110">
        <v>0.0015222394841533813</v>
      </c>
      <c r="E134" s="110">
        <v>2.9229848157088827</v>
      </c>
      <c r="F134" s="88" t="s">
        <v>2714</v>
      </c>
      <c r="G134" s="88" t="b">
        <v>0</v>
      </c>
      <c r="H134" s="88" t="b">
        <v>0</v>
      </c>
      <c r="I134" s="88" t="b">
        <v>0</v>
      </c>
      <c r="J134" s="88" t="b">
        <v>1</v>
      </c>
      <c r="K134" s="88" t="b">
        <v>0</v>
      </c>
      <c r="L134" s="88" t="b">
        <v>0</v>
      </c>
    </row>
    <row r="135" spans="1:12" ht="15">
      <c r="A135" s="83" t="s">
        <v>2477</v>
      </c>
      <c r="B135" s="88" t="s">
        <v>1969</v>
      </c>
      <c r="C135" s="88">
        <v>3</v>
      </c>
      <c r="D135" s="110">
        <v>0.0015222394841533813</v>
      </c>
      <c r="E135" s="110">
        <v>1.4970160834366018</v>
      </c>
      <c r="F135" s="88" t="s">
        <v>2714</v>
      </c>
      <c r="G135" s="88" t="b">
        <v>1</v>
      </c>
      <c r="H135" s="88" t="b">
        <v>0</v>
      </c>
      <c r="I135" s="88" t="b">
        <v>0</v>
      </c>
      <c r="J135" s="88" t="b">
        <v>0</v>
      </c>
      <c r="K135" s="88" t="b">
        <v>0</v>
      </c>
      <c r="L135" s="88" t="b">
        <v>0</v>
      </c>
    </row>
    <row r="136" spans="1:12" ht="15">
      <c r="A136" s="83" t="s">
        <v>1969</v>
      </c>
      <c r="B136" s="88" t="s">
        <v>2442</v>
      </c>
      <c r="C136" s="88">
        <v>3</v>
      </c>
      <c r="D136" s="110">
        <v>0.0015222394841533813</v>
      </c>
      <c r="E136" s="110">
        <v>1.2539780347503073</v>
      </c>
      <c r="F136" s="88" t="s">
        <v>2714</v>
      </c>
      <c r="G136" s="88" t="b">
        <v>0</v>
      </c>
      <c r="H136" s="88" t="b">
        <v>0</v>
      </c>
      <c r="I136" s="88" t="b">
        <v>0</v>
      </c>
      <c r="J136" s="88" t="b">
        <v>0</v>
      </c>
      <c r="K136" s="88" t="b">
        <v>0</v>
      </c>
      <c r="L136" s="88" t="b">
        <v>0</v>
      </c>
    </row>
    <row r="137" spans="1:12" ht="15">
      <c r="A137" s="83" t="s">
        <v>2442</v>
      </c>
      <c r="B137" s="88" t="s">
        <v>1968</v>
      </c>
      <c r="C137" s="88">
        <v>3</v>
      </c>
      <c r="D137" s="110">
        <v>0.0015222394841533813</v>
      </c>
      <c r="E137" s="110">
        <v>1.2485830028636011</v>
      </c>
      <c r="F137" s="88" t="s">
        <v>2714</v>
      </c>
      <c r="G137" s="88" t="b">
        <v>0</v>
      </c>
      <c r="H137" s="88" t="b">
        <v>0</v>
      </c>
      <c r="I137" s="88" t="b">
        <v>0</v>
      </c>
      <c r="J137" s="88" t="b">
        <v>0</v>
      </c>
      <c r="K137" s="88" t="b">
        <v>0</v>
      </c>
      <c r="L137" s="88" t="b">
        <v>0</v>
      </c>
    </row>
    <row r="138" spans="1:12" ht="15">
      <c r="A138" s="83" t="s">
        <v>1968</v>
      </c>
      <c r="B138" s="88" t="s">
        <v>1988</v>
      </c>
      <c r="C138" s="88">
        <v>3</v>
      </c>
      <c r="D138" s="110">
        <v>0.0015222394841533813</v>
      </c>
      <c r="E138" s="110">
        <v>0.9229848157088828</v>
      </c>
      <c r="F138" s="88" t="s">
        <v>2714</v>
      </c>
      <c r="G138" s="88" t="b">
        <v>0</v>
      </c>
      <c r="H138" s="88" t="b">
        <v>0</v>
      </c>
      <c r="I138" s="88" t="b">
        <v>0</v>
      </c>
      <c r="J138" s="88" t="b">
        <v>0</v>
      </c>
      <c r="K138" s="88" t="b">
        <v>0</v>
      </c>
      <c r="L138" s="88" t="b">
        <v>0</v>
      </c>
    </row>
    <row r="139" spans="1:12" ht="15">
      <c r="A139" s="83" t="s">
        <v>1988</v>
      </c>
      <c r="B139" s="88" t="s">
        <v>2523</v>
      </c>
      <c r="C139" s="88">
        <v>3</v>
      </c>
      <c r="D139" s="110">
        <v>0.0015222394841533813</v>
      </c>
      <c r="E139" s="110">
        <v>2.348953547981164</v>
      </c>
      <c r="F139" s="88" t="s">
        <v>2714</v>
      </c>
      <c r="G139" s="88" t="b">
        <v>0</v>
      </c>
      <c r="H139" s="88" t="b">
        <v>0</v>
      </c>
      <c r="I139" s="88" t="b">
        <v>0</v>
      </c>
      <c r="J139" s="88" t="b">
        <v>0</v>
      </c>
      <c r="K139" s="88" t="b">
        <v>0</v>
      </c>
      <c r="L139" s="88" t="b">
        <v>0</v>
      </c>
    </row>
    <row r="140" spans="1:12" ht="15">
      <c r="A140" s="83" t="s">
        <v>2523</v>
      </c>
      <c r="B140" s="88" t="s">
        <v>1992</v>
      </c>
      <c r="C140" s="88">
        <v>3</v>
      </c>
      <c r="D140" s="110">
        <v>0.0015222394841533813</v>
      </c>
      <c r="E140" s="110">
        <v>2.4836521218786203</v>
      </c>
      <c r="F140" s="88" t="s">
        <v>2714</v>
      </c>
      <c r="G140" s="88" t="b">
        <v>0</v>
      </c>
      <c r="H140" s="88" t="b">
        <v>0</v>
      </c>
      <c r="I140" s="88" t="b">
        <v>0</v>
      </c>
      <c r="J140" s="88" t="b">
        <v>0</v>
      </c>
      <c r="K140" s="88" t="b">
        <v>0</v>
      </c>
      <c r="L140" s="88" t="b">
        <v>0</v>
      </c>
    </row>
    <row r="141" spans="1:12" ht="15">
      <c r="A141" s="83" t="s">
        <v>2524</v>
      </c>
      <c r="B141" s="88" t="s">
        <v>2525</v>
      </c>
      <c r="C141" s="88">
        <v>3</v>
      </c>
      <c r="D141" s="110">
        <v>0.0015222394841533813</v>
      </c>
      <c r="E141" s="110">
        <v>3.047923552317183</v>
      </c>
      <c r="F141" s="88" t="s">
        <v>2714</v>
      </c>
      <c r="G141" s="88" t="b">
        <v>0</v>
      </c>
      <c r="H141" s="88" t="b">
        <v>0</v>
      </c>
      <c r="I141" s="88" t="b">
        <v>0</v>
      </c>
      <c r="J141" s="88" t="b">
        <v>0</v>
      </c>
      <c r="K141" s="88" t="b">
        <v>0</v>
      </c>
      <c r="L141" s="88" t="b">
        <v>0</v>
      </c>
    </row>
    <row r="142" spans="1:12" ht="15">
      <c r="A142" s="83" t="s">
        <v>2525</v>
      </c>
      <c r="B142" s="88" t="s">
        <v>2526</v>
      </c>
      <c r="C142" s="88">
        <v>3</v>
      </c>
      <c r="D142" s="110">
        <v>0.0015222394841533813</v>
      </c>
      <c r="E142" s="110">
        <v>3.047923552317183</v>
      </c>
      <c r="F142" s="88" t="s">
        <v>2714</v>
      </c>
      <c r="G142" s="88" t="b">
        <v>0</v>
      </c>
      <c r="H142" s="88" t="b">
        <v>0</v>
      </c>
      <c r="I142" s="88" t="b">
        <v>0</v>
      </c>
      <c r="J142" s="88" t="b">
        <v>0</v>
      </c>
      <c r="K142" s="88" t="b">
        <v>0</v>
      </c>
      <c r="L142" s="88" t="b">
        <v>0</v>
      </c>
    </row>
    <row r="143" spans="1:12" ht="15">
      <c r="A143" s="83" t="s">
        <v>2526</v>
      </c>
      <c r="B143" s="88" t="s">
        <v>1987</v>
      </c>
      <c r="C143" s="88">
        <v>3</v>
      </c>
      <c r="D143" s="110">
        <v>0.0015222394841533813</v>
      </c>
      <c r="E143" s="110">
        <v>2.3209248243809206</v>
      </c>
      <c r="F143" s="88" t="s">
        <v>2714</v>
      </c>
      <c r="G143" s="88" t="b">
        <v>0</v>
      </c>
      <c r="H143" s="88" t="b">
        <v>0</v>
      </c>
      <c r="I143" s="88" t="b">
        <v>0</v>
      </c>
      <c r="J143" s="88" t="b">
        <v>0</v>
      </c>
      <c r="K143" s="88" t="b">
        <v>0</v>
      </c>
      <c r="L143" s="88" t="b">
        <v>0</v>
      </c>
    </row>
    <row r="144" spans="1:12" ht="15">
      <c r="A144" s="83" t="s">
        <v>1987</v>
      </c>
      <c r="B144" s="88" t="s">
        <v>2434</v>
      </c>
      <c r="C144" s="88">
        <v>3</v>
      </c>
      <c r="D144" s="110">
        <v>0.0015222394841533813</v>
      </c>
      <c r="E144" s="110">
        <v>1.7188648330529581</v>
      </c>
      <c r="F144" s="88" t="s">
        <v>2714</v>
      </c>
      <c r="G144" s="88" t="b">
        <v>0</v>
      </c>
      <c r="H144" s="88" t="b">
        <v>0</v>
      </c>
      <c r="I144" s="88" t="b">
        <v>0</v>
      </c>
      <c r="J144" s="88" t="b">
        <v>0</v>
      </c>
      <c r="K144" s="88" t="b">
        <v>0</v>
      </c>
      <c r="L144" s="88" t="b">
        <v>0</v>
      </c>
    </row>
    <row r="145" spans="1:12" ht="15">
      <c r="A145" s="83" t="s">
        <v>2434</v>
      </c>
      <c r="B145" s="88" t="s">
        <v>2527</v>
      </c>
      <c r="C145" s="88">
        <v>3</v>
      </c>
      <c r="D145" s="110">
        <v>0.0015222394841533813</v>
      </c>
      <c r="E145" s="110">
        <v>2.4458635609892205</v>
      </c>
      <c r="F145" s="88" t="s">
        <v>2714</v>
      </c>
      <c r="G145" s="88" t="b">
        <v>0</v>
      </c>
      <c r="H145" s="88" t="b">
        <v>0</v>
      </c>
      <c r="I145" s="88" t="b">
        <v>0</v>
      </c>
      <c r="J145" s="88" t="b">
        <v>0</v>
      </c>
      <c r="K145" s="88" t="b">
        <v>0</v>
      </c>
      <c r="L145" s="88" t="b">
        <v>0</v>
      </c>
    </row>
    <row r="146" spans="1:12" ht="15">
      <c r="A146" s="83" t="s">
        <v>2527</v>
      </c>
      <c r="B146" s="88" t="s">
        <v>2528</v>
      </c>
      <c r="C146" s="88">
        <v>3</v>
      </c>
      <c r="D146" s="110">
        <v>0.0015222394841533813</v>
      </c>
      <c r="E146" s="110">
        <v>3.047923552317183</v>
      </c>
      <c r="F146" s="88" t="s">
        <v>2714</v>
      </c>
      <c r="G146" s="88" t="b">
        <v>0</v>
      </c>
      <c r="H146" s="88" t="b">
        <v>0</v>
      </c>
      <c r="I146" s="88" t="b">
        <v>0</v>
      </c>
      <c r="J146" s="88" t="b">
        <v>0</v>
      </c>
      <c r="K146" s="88" t="b">
        <v>0</v>
      </c>
      <c r="L146" s="88" t="b">
        <v>0</v>
      </c>
    </row>
    <row r="147" spans="1:12" ht="15">
      <c r="A147" s="83" t="s">
        <v>2528</v>
      </c>
      <c r="B147" s="88" t="s">
        <v>2490</v>
      </c>
      <c r="C147" s="88">
        <v>3</v>
      </c>
      <c r="D147" s="110">
        <v>0.0015222394841533813</v>
      </c>
      <c r="E147" s="110">
        <v>2.9229848157088827</v>
      </c>
      <c r="F147" s="88" t="s">
        <v>2714</v>
      </c>
      <c r="G147" s="88" t="b">
        <v>0</v>
      </c>
      <c r="H147" s="88" t="b">
        <v>0</v>
      </c>
      <c r="I147" s="88" t="b">
        <v>0</v>
      </c>
      <c r="J147" s="88" t="b">
        <v>0</v>
      </c>
      <c r="K147" s="88" t="b">
        <v>0</v>
      </c>
      <c r="L147" s="88" t="b">
        <v>0</v>
      </c>
    </row>
    <row r="148" spans="1:12" ht="15">
      <c r="A148" s="83" t="s">
        <v>2490</v>
      </c>
      <c r="B148" s="88" t="s">
        <v>2529</v>
      </c>
      <c r="C148" s="88">
        <v>3</v>
      </c>
      <c r="D148" s="110">
        <v>0.0015222394841533813</v>
      </c>
      <c r="E148" s="110">
        <v>3.047923552317183</v>
      </c>
      <c r="F148" s="88" t="s">
        <v>2714</v>
      </c>
      <c r="G148" s="88" t="b">
        <v>0</v>
      </c>
      <c r="H148" s="88" t="b">
        <v>0</v>
      </c>
      <c r="I148" s="88" t="b">
        <v>0</v>
      </c>
      <c r="J148" s="88" t="b">
        <v>0</v>
      </c>
      <c r="K148" s="88" t="b">
        <v>0</v>
      </c>
      <c r="L148" s="88" t="b">
        <v>0</v>
      </c>
    </row>
    <row r="149" spans="1:12" ht="15">
      <c r="A149" s="83" t="s">
        <v>2529</v>
      </c>
      <c r="B149" s="88" t="s">
        <v>2530</v>
      </c>
      <c r="C149" s="88">
        <v>3</v>
      </c>
      <c r="D149" s="110">
        <v>0.0015222394841533813</v>
      </c>
      <c r="E149" s="110">
        <v>3.047923552317183</v>
      </c>
      <c r="F149" s="88" t="s">
        <v>2714</v>
      </c>
      <c r="G149" s="88" t="b">
        <v>0</v>
      </c>
      <c r="H149" s="88" t="b">
        <v>0</v>
      </c>
      <c r="I149" s="88" t="b">
        <v>0</v>
      </c>
      <c r="J149" s="88" t="b">
        <v>0</v>
      </c>
      <c r="K149" s="88" t="b">
        <v>0</v>
      </c>
      <c r="L149" s="88" t="b">
        <v>0</v>
      </c>
    </row>
    <row r="150" spans="1:12" ht="15">
      <c r="A150" s="83" t="s">
        <v>2530</v>
      </c>
      <c r="B150" s="88" t="s">
        <v>2012</v>
      </c>
      <c r="C150" s="88">
        <v>3</v>
      </c>
      <c r="D150" s="110">
        <v>0.0015222394841533813</v>
      </c>
      <c r="E150" s="110">
        <v>2.2945958856585715</v>
      </c>
      <c r="F150" s="88" t="s">
        <v>2714</v>
      </c>
      <c r="G150" s="88" t="b">
        <v>0</v>
      </c>
      <c r="H150" s="88" t="b">
        <v>0</v>
      </c>
      <c r="I150" s="88" t="b">
        <v>0</v>
      </c>
      <c r="J150" s="88" t="b">
        <v>0</v>
      </c>
      <c r="K150" s="88" t="b">
        <v>0</v>
      </c>
      <c r="L150" s="88" t="b">
        <v>0</v>
      </c>
    </row>
    <row r="151" spans="1:12" ht="15">
      <c r="A151" s="83" t="s">
        <v>2012</v>
      </c>
      <c r="B151" s="88" t="s">
        <v>2491</v>
      </c>
      <c r="C151" s="88">
        <v>3</v>
      </c>
      <c r="D151" s="110">
        <v>0.0015222394841533813</v>
      </c>
      <c r="E151" s="110">
        <v>2.224014811372864</v>
      </c>
      <c r="F151" s="88" t="s">
        <v>2714</v>
      </c>
      <c r="G151" s="88" t="b">
        <v>0</v>
      </c>
      <c r="H151" s="88" t="b">
        <v>0</v>
      </c>
      <c r="I151" s="88" t="b">
        <v>0</v>
      </c>
      <c r="J151" s="88" t="b">
        <v>0</v>
      </c>
      <c r="K151" s="88" t="b">
        <v>0</v>
      </c>
      <c r="L151" s="88" t="b">
        <v>0</v>
      </c>
    </row>
    <row r="152" spans="1:12" ht="15">
      <c r="A152" s="83" t="s">
        <v>2491</v>
      </c>
      <c r="B152" s="88" t="s">
        <v>2531</v>
      </c>
      <c r="C152" s="88">
        <v>3</v>
      </c>
      <c r="D152" s="110">
        <v>0.0015222394841533813</v>
      </c>
      <c r="E152" s="110">
        <v>2.9229848157088827</v>
      </c>
      <c r="F152" s="88" t="s">
        <v>2714</v>
      </c>
      <c r="G152" s="88" t="b">
        <v>0</v>
      </c>
      <c r="H152" s="88" t="b">
        <v>0</v>
      </c>
      <c r="I152" s="88" t="b">
        <v>0</v>
      </c>
      <c r="J152" s="88" t="b">
        <v>0</v>
      </c>
      <c r="K152" s="88" t="b">
        <v>0</v>
      </c>
      <c r="L152" s="88" t="b">
        <v>0</v>
      </c>
    </row>
    <row r="153" spans="1:12" ht="15">
      <c r="A153" s="83" t="s">
        <v>2531</v>
      </c>
      <c r="B153" s="88" t="s">
        <v>2532</v>
      </c>
      <c r="C153" s="88">
        <v>3</v>
      </c>
      <c r="D153" s="110">
        <v>0.0015222394841533813</v>
      </c>
      <c r="E153" s="110">
        <v>3.047923552317183</v>
      </c>
      <c r="F153" s="88" t="s">
        <v>2714</v>
      </c>
      <c r="G153" s="88" t="b">
        <v>0</v>
      </c>
      <c r="H153" s="88" t="b">
        <v>0</v>
      </c>
      <c r="I153" s="88" t="b">
        <v>0</v>
      </c>
      <c r="J153" s="88" t="b">
        <v>0</v>
      </c>
      <c r="K153" s="88" t="b">
        <v>0</v>
      </c>
      <c r="L153" s="88" t="b">
        <v>0</v>
      </c>
    </row>
    <row r="154" spans="1:12" ht="15">
      <c r="A154" s="83" t="s">
        <v>2532</v>
      </c>
      <c r="B154" s="88" t="s">
        <v>1987</v>
      </c>
      <c r="C154" s="88">
        <v>3</v>
      </c>
      <c r="D154" s="110">
        <v>0.0015222394841533813</v>
      </c>
      <c r="E154" s="110">
        <v>2.3209248243809206</v>
      </c>
      <c r="F154" s="88" t="s">
        <v>2714</v>
      </c>
      <c r="G154" s="88" t="b">
        <v>0</v>
      </c>
      <c r="H154" s="88" t="b">
        <v>0</v>
      </c>
      <c r="I154" s="88" t="b">
        <v>0</v>
      </c>
      <c r="J154" s="88" t="b">
        <v>0</v>
      </c>
      <c r="K154" s="88" t="b">
        <v>0</v>
      </c>
      <c r="L154" s="88" t="b">
        <v>0</v>
      </c>
    </row>
    <row r="155" spans="1:12" ht="15">
      <c r="A155" s="83" t="s">
        <v>1987</v>
      </c>
      <c r="B155" s="88" t="s">
        <v>1984</v>
      </c>
      <c r="C155" s="88">
        <v>3</v>
      </c>
      <c r="D155" s="110">
        <v>0.0015222394841533813</v>
      </c>
      <c r="E155" s="110">
        <v>1.5675971577223091</v>
      </c>
      <c r="F155" s="88" t="s">
        <v>2714</v>
      </c>
      <c r="G155" s="88" t="b">
        <v>0</v>
      </c>
      <c r="H155" s="88" t="b">
        <v>0</v>
      </c>
      <c r="I155" s="88" t="b">
        <v>0</v>
      </c>
      <c r="J155" s="88" t="b">
        <v>0</v>
      </c>
      <c r="K155" s="88" t="b">
        <v>0</v>
      </c>
      <c r="L155" s="88" t="b">
        <v>0</v>
      </c>
    </row>
    <row r="156" spans="1:12" ht="15">
      <c r="A156" s="83" t="s">
        <v>1984</v>
      </c>
      <c r="B156" s="88" t="s">
        <v>2533</v>
      </c>
      <c r="C156" s="88">
        <v>3</v>
      </c>
      <c r="D156" s="110">
        <v>0.0015222394841533813</v>
      </c>
      <c r="E156" s="110">
        <v>2.2945958856585715</v>
      </c>
      <c r="F156" s="88" t="s">
        <v>2714</v>
      </c>
      <c r="G156" s="88" t="b">
        <v>0</v>
      </c>
      <c r="H156" s="88" t="b">
        <v>0</v>
      </c>
      <c r="I156" s="88" t="b">
        <v>0</v>
      </c>
      <c r="J156" s="88" t="b">
        <v>0</v>
      </c>
      <c r="K156" s="88" t="b">
        <v>0</v>
      </c>
      <c r="L156" s="88" t="b">
        <v>0</v>
      </c>
    </row>
    <row r="157" spans="1:12" ht="15">
      <c r="A157" s="83" t="s">
        <v>2533</v>
      </c>
      <c r="B157" s="88" t="s">
        <v>2534</v>
      </c>
      <c r="C157" s="88">
        <v>3</v>
      </c>
      <c r="D157" s="110">
        <v>0.0015222394841533813</v>
      </c>
      <c r="E157" s="110">
        <v>3.047923552317183</v>
      </c>
      <c r="F157" s="88" t="s">
        <v>2714</v>
      </c>
      <c r="G157" s="88" t="b">
        <v>0</v>
      </c>
      <c r="H157" s="88" t="b">
        <v>0</v>
      </c>
      <c r="I157" s="88" t="b">
        <v>0</v>
      </c>
      <c r="J157" s="88" t="b">
        <v>0</v>
      </c>
      <c r="K157" s="88" t="b">
        <v>0</v>
      </c>
      <c r="L157" s="88" t="b">
        <v>0</v>
      </c>
    </row>
    <row r="158" spans="1:12" ht="15">
      <c r="A158" s="83" t="s">
        <v>2534</v>
      </c>
      <c r="B158" s="88" t="s">
        <v>1944</v>
      </c>
      <c r="C158" s="88">
        <v>3</v>
      </c>
      <c r="D158" s="110">
        <v>0.0015222394841533813</v>
      </c>
      <c r="E158" s="110">
        <v>1.2261917306271386</v>
      </c>
      <c r="F158" s="88" t="s">
        <v>2714</v>
      </c>
      <c r="G158" s="88" t="b">
        <v>0</v>
      </c>
      <c r="H158" s="88" t="b">
        <v>0</v>
      </c>
      <c r="I158" s="88" t="b">
        <v>0</v>
      </c>
      <c r="J158" s="88" t="b">
        <v>0</v>
      </c>
      <c r="K158" s="88" t="b">
        <v>0</v>
      </c>
      <c r="L158" s="88" t="b">
        <v>0</v>
      </c>
    </row>
    <row r="159" spans="1:12" ht="15">
      <c r="A159" s="83" t="s">
        <v>1944</v>
      </c>
      <c r="B159" s="88" t="s">
        <v>2535</v>
      </c>
      <c r="C159" s="88">
        <v>3</v>
      </c>
      <c r="D159" s="110">
        <v>0.0015222394841533813</v>
      </c>
      <c r="E159" s="110">
        <v>1.2417435783332957</v>
      </c>
      <c r="F159" s="88" t="s">
        <v>2714</v>
      </c>
      <c r="G159" s="88" t="b">
        <v>0</v>
      </c>
      <c r="H159" s="88" t="b">
        <v>0</v>
      </c>
      <c r="I159" s="88" t="b">
        <v>0</v>
      </c>
      <c r="J159" s="88" t="b">
        <v>0</v>
      </c>
      <c r="K159" s="88" t="b">
        <v>0</v>
      </c>
      <c r="L159" s="88" t="b">
        <v>0</v>
      </c>
    </row>
    <row r="160" spans="1:12" ht="15">
      <c r="A160" s="83" t="s">
        <v>2535</v>
      </c>
      <c r="B160" s="88" t="s">
        <v>1986</v>
      </c>
      <c r="C160" s="88">
        <v>3</v>
      </c>
      <c r="D160" s="110">
        <v>0.0015222394841533813</v>
      </c>
      <c r="E160" s="110">
        <v>2.6799467670225883</v>
      </c>
      <c r="F160" s="88" t="s">
        <v>2714</v>
      </c>
      <c r="G160" s="88" t="b">
        <v>0</v>
      </c>
      <c r="H160" s="88" t="b">
        <v>0</v>
      </c>
      <c r="I160" s="88" t="b">
        <v>0</v>
      </c>
      <c r="J160" s="88" t="b">
        <v>0</v>
      </c>
      <c r="K160" s="88" t="b">
        <v>0</v>
      </c>
      <c r="L160" s="88" t="b">
        <v>0</v>
      </c>
    </row>
    <row r="161" spans="1:12" ht="15">
      <c r="A161" s="83" t="s">
        <v>1986</v>
      </c>
      <c r="B161" s="88" t="s">
        <v>2003</v>
      </c>
      <c r="C161" s="88">
        <v>3</v>
      </c>
      <c r="D161" s="110">
        <v>0.0015222394841533813</v>
      </c>
      <c r="E161" s="110">
        <v>2.077886775694626</v>
      </c>
      <c r="F161" s="88" t="s">
        <v>2714</v>
      </c>
      <c r="G161" s="88" t="b">
        <v>0</v>
      </c>
      <c r="H161" s="88" t="b">
        <v>0</v>
      </c>
      <c r="I161" s="88" t="b">
        <v>0</v>
      </c>
      <c r="J161" s="88" t="b">
        <v>0</v>
      </c>
      <c r="K161" s="88" t="b">
        <v>0</v>
      </c>
      <c r="L161" s="88" t="b">
        <v>0</v>
      </c>
    </row>
    <row r="162" spans="1:12" ht="15">
      <c r="A162" s="83" t="s">
        <v>2492</v>
      </c>
      <c r="B162" s="88" t="s">
        <v>1964</v>
      </c>
      <c r="C162" s="88">
        <v>3</v>
      </c>
      <c r="D162" s="110">
        <v>0.0015222394841533813</v>
      </c>
      <c r="E162" s="110">
        <v>1.1905910558859143</v>
      </c>
      <c r="F162" s="88" t="s">
        <v>2714</v>
      </c>
      <c r="G162" s="88" t="b">
        <v>0</v>
      </c>
      <c r="H162" s="88" t="b">
        <v>0</v>
      </c>
      <c r="I162" s="88" t="b">
        <v>0</v>
      </c>
      <c r="J162" s="88" t="b">
        <v>0</v>
      </c>
      <c r="K162" s="88" t="b">
        <v>0</v>
      </c>
      <c r="L162" s="88" t="b">
        <v>0</v>
      </c>
    </row>
    <row r="163" spans="1:12" ht="15">
      <c r="A163" s="83" t="s">
        <v>2496</v>
      </c>
      <c r="B163" s="88" t="s">
        <v>1978</v>
      </c>
      <c r="C163" s="88">
        <v>3</v>
      </c>
      <c r="D163" s="110">
        <v>0.0015222394841533813</v>
      </c>
      <c r="E163" s="110">
        <v>2.1213524694757164</v>
      </c>
      <c r="F163" s="88" t="s">
        <v>2714</v>
      </c>
      <c r="G163" s="88" t="b">
        <v>0</v>
      </c>
      <c r="H163" s="88" t="b">
        <v>0</v>
      </c>
      <c r="I163" s="88" t="b">
        <v>0</v>
      </c>
      <c r="J163" s="88" t="b">
        <v>0</v>
      </c>
      <c r="K163" s="88" t="b">
        <v>0</v>
      </c>
      <c r="L163" s="88" t="b">
        <v>0</v>
      </c>
    </row>
    <row r="164" spans="1:12" ht="15">
      <c r="A164" s="83" t="s">
        <v>1978</v>
      </c>
      <c r="B164" s="88" t="s">
        <v>2539</v>
      </c>
      <c r="C164" s="88">
        <v>3</v>
      </c>
      <c r="D164" s="110">
        <v>0.0015222394841533813</v>
      </c>
      <c r="E164" s="110">
        <v>2.2462912060840163</v>
      </c>
      <c r="F164" s="88" t="s">
        <v>2714</v>
      </c>
      <c r="G164" s="88" t="b">
        <v>0</v>
      </c>
      <c r="H164" s="88" t="b">
        <v>0</v>
      </c>
      <c r="I164" s="88" t="b">
        <v>0</v>
      </c>
      <c r="J164" s="88" t="b">
        <v>0</v>
      </c>
      <c r="K164" s="88" t="b">
        <v>0</v>
      </c>
      <c r="L164" s="88" t="b">
        <v>0</v>
      </c>
    </row>
    <row r="165" spans="1:12" ht="15">
      <c r="A165" s="83" t="s">
        <v>2539</v>
      </c>
      <c r="B165" s="88" t="s">
        <v>1964</v>
      </c>
      <c r="C165" s="88">
        <v>3</v>
      </c>
      <c r="D165" s="110">
        <v>0.0015222394841533813</v>
      </c>
      <c r="E165" s="110">
        <v>1.3155297924942142</v>
      </c>
      <c r="F165" s="88" t="s">
        <v>2714</v>
      </c>
      <c r="G165" s="88" t="b">
        <v>0</v>
      </c>
      <c r="H165" s="88" t="b">
        <v>0</v>
      </c>
      <c r="I165" s="88" t="b">
        <v>0</v>
      </c>
      <c r="J165" s="88" t="b">
        <v>0</v>
      </c>
      <c r="K165" s="88" t="b">
        <v>0</v>
      </c>
      <c r="L165" s="88" t="b">
        <v>0</v>
      </c>
    </row>
    <row r="166" spans="1:12" ht="15">
      <c r="A166" s="83" t="s">
        <v>1944</v>
      </c>
      <c r="B166" s="88" t="s">
        <v>2540</v>
      </c>
      <c r="C166" s="88">
        <v>3</v>
      </c>
      <c r="D166" s="110">
        <v>0.0015222394841533813</v>
      </c>
      <c r="E166" s="110">
        <v>1.2417435783332957</v>
      </c>
      <c r="F166" s="88" t="s">
        <v>2714</v>
      </c>
      <c r="G166" s="88" t="b">
        <v>0</v>
      </c>
      <c r="H166" s="88" t="b">
        <v>0</v>
      </c>
      <c r="I166" s="88" t="b">
        <v>0</v>
      </c>
      <c r="J166" s="88" t="b">
        <v>0</v>
      </c>
      <c r="K166" s="88" t="b">
        <v>0</v>
      </c>
      <c r="L166" s="88" t="b">
        <v>0</v>
      </c>
    </row>
    <row r="167" spans="1:12" ht="15">
      <c r="A167" s="83" t="s">
        <v>2540</v>
      </c>
      <c r="B167" s="88" t="s">
        <v>1993</v>
      </c>
      <c r="C167" s="88">
        <v>3</v>
      </c>
      <c r="D167" s="110">
        <v>0.0015222394841533813</v>
      </c>
      <c r="E167" s="110">
        <v>2.3789167713586075</v>
      </c>
      <c r="F167" s="88" t="s">
        <v>2714</v>
      </c>
      <c r="G167" s="88" t="b">
        <v>0</v>
      </c>
      <c r="H167" s="88" t="b">
        <v>0</v>
      </c>
      <c r="I167" s="88" t="b">
        <v>0</v>
      </c>
      <c r="J167" s="88" t="b">
        <v>0</v>
      </c>
      <c r="K167" s="88" t="b">
        <v>0</v>
      </c>
      <c r="L167" s="88" t="b">
        <v>0</v>
      </c>
    </row>
    <row r="168" spans="1:12" ht="15">
      <c r="A168" s="83" t="s">
        <v>1993</v>
      </c>
      <c r="B168" s="88" t="s">
        <v>2541</v>
      </c>
      <c r="C168" s="88">
        <v>3</v>
      </c>
      <c r="D168" s="110">
        <v>0.0015222394841533813</v>
      </c>
      <c r="E168" s="110">
        <v>2.4836521218786203</v>
      </c>
      <c r="F168" s="88" t="s">
        <v>2714</v>
      </c>
      <c r="G168" s="88" t="b">
        <v>0</v>
      </c>
      <c r="H168" s="88" t="b">
        <v>0</v>
      </c>
      <c r="I168" s="88" t="b">
        <v>0</v>
      </c>
      <c r="J168" s="88" t="b">
        <v>0</v>
      </c>
      <c r="K168" s="88" t="b">
        <v>0</v>
      </c>
      <c r="L168" s="88" t="b">
        <v>0</v>
      </c>
    </row>
    <row r="169" spans="1:12" ht="15">
      <c r="A169" s="83" t="s">
        <v>2541</v>
      </c>
      <c r="B169" s="88" t="s">
        <v>2542</v>
      </c>
      <c r="C169" s="88">
        <v>3</v>
      </c>
      <c r="D169" s="110">
        <v>0.0015222394841533813</v>
      </c>
      <c r="E169" s="110">
        <v>3.047923552317183</v>
      </c>
      <c r="F169" s="88" t="s">
        <v>2714</v>
      </c>
      <c r="G169" s="88" t="b">
        <v>0</v>
      </c>
      <c r="H169" s="88" t="b">
        <v>0</v>
      </c>
      <c r="I169" s="88" t="b">
        <v>0</v>
      </c>
      <c r="J169" s="88" t="b">
        <v>0</v>
      </c>
      <c r="K169" s="88" t="b">
        <v>0</v>
      </c>
      <c r="L169" s="88" t="b">
        <v>0</v>
      </c>
    </row>
    <row r="170" spans="1:12" ht="15">
      <c r="A170" s="83" t="s">
        <v>2434</v>
      </c>
      <c r="B170" s="88" t="s">
        <v>2493</v>
      </c>
      <c r="C170" s="88">
        <v>3</v>
      </c>
      <c r="D170" s="110">
        <v>0.0015222394841533813</v>
      </c>
      <c r="E170" s="110">
        <v>2.3209248243809206</v>
      </c>
      <c r="F170" s="88" t="s">
        <v>2714</v>
      </c>
      <c r="G170" s="88" t="b">
        <v>0</v>
      </c>
      <c r="H170" s="88" t="b">
        <v>0</v>
      </c>
      <c r="I170" s="88" t="b">
        <v>0</v>
      </c>
      <c r="J170" s="88" t="b">
        <v>0</v>
      </c>
      <c r="K170" s="88" t="b">
        <v>0</v>
      </c>
      <c r="L170" s="88" t="b">
        <v>0</v>
      </c>
    </row>
    <row r="171" spans="1:12" ht="15">
      <c r="A171" s="83" t="s">
        <v>1944</v>
      </c>
      <c r="B171" s="88" t="s">
        <v>2433</v>
      </c>
      <c r="C171" s="88">
        <v>3</v>
      </c>
      <c r="D171" s="110">
        <v>0.0015222394841533813</v>
      </c>
      <c r="E171" s="110">
        <v>0.7188648330529581</v>
      </c>
      <c r="F171" s="88" t="s">
        <v>2714</v>
      </c>
      <c r="G171" s="88" t="b">
        <v>0</v>
      </c>
      <c r="H171" s="88" t="b">
        <v>0</v>
      </c>
      <c r="I171" s="88" t="b">
        <v>0</v>
      </c>
      <c r="J171" s="88" t="b">
        <v>0</v>
      </c>
      <c r="K171" s="88" t="b">
        <v>0</v>
      </c>
      <c r="L171" s="88" t="b">
        <v>0</v>
      </c>
    </row>
    <row r="172" spans="1:12" ht="15">
      <c r="A172" s="83" t="s">
        <v>2464</v>
      </c>
      <c r="B172" s="88" t="s">
        <v>1997</v>
      </c>
      <c r="C172" s="88">
        <v>3</v>
      </c>
      <c r="D172" s="110">
        <v>0.0015222394841533813</v>
      </c>
      <c r="E172" s="110">
        <v>2.072747136042215</v>
      </c>
      <c r="F172" s="88" t="s">
        <v>2714</v>
      </c>
      <c r="G172" s="88" t="b">
        <v>0</v>
      </c>
      <c r="H172" s="88" t="b">
        <v>0</v>
      </c>
      <c r="I172" s="88" t="b">
        <v>0</v>
      </c>
      <c r="J172" s="88" t="b">
        <v>0</v>
      </c>
      <c r="K172" s="88" t="b">
        <v>0</v>
      </c>
      <c r="L172" s="88" t="b">
        <v>0</v>
      </c>
    </row>
    <row r="173" spans="1:12" ht="15">
      <c r="A173" s="83" t="s">
        <v>1944</v>
      </c>
      <c r="B173" s="88" t="s">
        <v>2012</v>
      </c>
      <c r="C173" s="88">
        <v>3</v>
      </c>
      <c r="D173" s="110">
        <v>0.0015222394841533813</v>
      </c>
      <c r="E173" s="110">
        <v>0.4884159116746841</v>
      </c>
      <c r="F173" s="88" t="s">
        <v>2714</v>
      </c>
      <c r="G173" s="88" t="b">
        <v>0</v>
      </c>
      <c r="H173" s="88" t="b">
        <v>0</v>
      </c>
      <c r="I173" s="88" t="b">
        <v>0</v>
      </c>
      <c r="J173" s="88" t="b">
        <v>0</v>
      </c>
      <c r="K173" s="88" t="b">
        <v>0</v>
      </c>
      <c r="L173" s="88" t="b">
        <v>0</v>
      </c>
    </row>
    <row r="174" spans="1:12" ht="15">
      <c r="A174" s="83" t="s">
        <v>2549</v>
      </c>
      <c r="B174" s="88" t="s">
        <v>2550</v>
      </c>
      <c r="C174" s="88">
        <v>3</v>
      </c>
      <c r="D174" s="110">
        <v>0.0015222394841533813</v>
      </c>
      <c r="E174" s="110">
        <v>3.047923552317183</v>
      </c>
      <c r="F174" s="88" t="s">
        <v>2714</v>
      </c>
      <c r="G174" s="88" t="b">
        <v>0</v>
      </c>
      <c r="H174" s="88" t="b">
        <v>1</v>
      </c>
      <c r="I174" s="88" t="b">
        <v>0</v>
      </c>
      <c r="J174" s="88" t="b">
        <v>0</v>
      </c>
      <c r="K174" s="88" t="b">
        <v>0</v>
      </c>
      <c r="L174" s="88" t="b">
        <v>0</v>
      </c>
    </row>
    <row r="175" spans="1:12" ht="15">
      <c r="A175" s="83" t="s">
        <v>2550</v>
      </c>
      <c r="B175" s="88" t="s">
        <v>2551</v>
      </c>
      <c r="C175" s="88">
        <v>3</v>
      </c>
      <c r="D175" s="110">
        <v>0.0015222394841533813</v>
      </c>
      <c r="E175" s="110">
        <v>3.047923552317183</v>
      </c>
      <c r="F175" s="88" t="s">
        <v>2714</v>
      </c>
      <c r="G175" s="88" t="b">
        <v>0</v>
      </c>
      <c r="H175" s="88" t="b">
        <v>0</v>
      </c>
      <c r="I175" s="88" t="b">
        <v>0</v>
      </c>
      <c r="J175" s="88" t="b">
        <v>0</v>
      </c>
      <c r="K175" s="88" t="b">
        <v>0</v>
      </c>
      <c r="L175" s="88" t="b">
        <v>0</v>
      </c>
    </row>
    <row r="176" spans="1:12" ht="15">
      <c r="A176" s="83" t="s">
        <v>2551</v>
      </c>
      <c r="B176" s="88" t="s">
        <v>2552</v>
      </c>
      <c r="C176" s="88">
        <v>3</v>
      </c>
      <c r="D176" s="110">
        <v>0.0015222394841533813</v>
      </c>
      <c r="E176" s="110">
        <v>3.047923552317183</v>
      </c>
      <c r="F176" s="88" t="s">
        <v>2714</v>
      </c>
      <c r="G176" s="88" t="b">
        <v>0</v>
      </c>
      <c r="H176" s="88" t="b">
        <v>0</v>
      </c>
      <c r="I176" s="88" t="b">
        <v>0</v>
      </c>
      <c r="J176" s="88" t="b">
        <v>0</v>
      </c>
      <c r="K176" s="88" t="b">
        <v>0</v>
      </c>
      <c r="L176" s="88" t="b">
        <v>0</v>
      </c>
    </row>
    <row r="177" spans="1:12" ht="15">
      <c r="A177" s="83" t="s">
        <v>2552</v>
      </c>
      <c r="B177" s="88" t="s">
        <v>2553</v>
      </c>
      <c r="C177" s="88">
        <v>3</v>
      </c>
      <c r="D177" s="110">
        <v>0.0015222394841533813</v>
      </c>
      <c r="E177" s="110">
        <v>3.047923552317183</v>
      </c>
      <c r="F177" s="88" t="s">
        <v>2714</v>
      </c>
      <c r="G177" s="88" t="b">
        <v>0</v>
      </c>
      <c r="H177" s="88" t="b">
        <v>0</v>
      </c>
      <c r="I177" s="88" t="b">
        <v>0</v>
      </c>
      <c r="J177" s="88" t="b">
        <v>0</v>
      </c>
      <c r="K177" s="88" t="b">
        <v>0</v>
      </c>
      <c r="L177" s="88" t="b">
        <v>0</v>
      </c>
    </row>
    <row r="178" spans="1:12" ht="15">
      <c r="A178" s="83" t="s">
        <v>2553</v>
      </c>
      <c r="B178" s="88" t="s">
        <v>1964</v>
      </c>
      <c r="C178" s="88">
        <v>3</v>
      </c>
      <c r="D178" s="110">
        <v>0.0015222394841533813</v>
      </c>
      <c r="E178" s="110">
        <v>1.3155297924942142</v>
      </c>
      <c r="F178" s="88" t="s">
        <v>2714</v>
      </c>
      <c r="G178" s="88" t="b">
        <v>0</v>
      </c>
      <c r="H178" s="88" t="b">
        <v>0</v>
      </c>
      <c r="I178" s="88" t="b">
        <v>0</v>
      </c>
      <c r="J178" s="88" t="b">
        <v>0</v>
      </c>
      <c r="K178" s="88" t="b">
        <v>0</v>
      </c>
      <c r="L178" s="88" t="b">
        <v>0</v>
      </c>
    </row>
    <row r="179" spans="1:12" ht="15">
      <c r="A179" s="83" t="s">
        <v>1965</v>
      </c>
      <c r="B179" s="88" t="s">
        <v>2554</v>
      </c>
      <c r="C179" s="88">
        <v>3</v>
      </c>
      <c r="D179" s="110">
        <v>0.0015222394841533813</v>
      </c>
      <c r="E179" s="110">
        <v>1.3102009589891472</v>
      </c>
      <c r="F179" s="88" t="s">
        <v>2714</v>
      </c>
      <c r="G179" s="88" t="b">
        <v>0</v>
      </c>
      <c r="H179" s="88" t="b">
        <v>0</v>
      </c>
      <c r="I179" s="88" t="b">
        <v>0</v>
      </c>
      <c r="J179" s="88" t="b">
        <v>0</v>
      </c>
      <c r="K179" s="88" t="b">
        <v>0</v>
      </c>
      <c r="L179" s="88" t="b">
        <v>0</v>
      </c>
    </row>
    <row r="180" spans="1:12" ht="15">
      <c r="A180" s="83" t="s">
        <v>2554</v>
      </c>
      <c r="B180" s="88" t="s">
        <v>2500</v>
      </c>
      <c r="C180" s="88">
        <v>3</v>
      </c>
      <c r="D180" s="110">
        <v>0.0015222394841533813</v>
      </c>
      <c r="E180" s="110">
        <v>2.9229848157088827</v>
      </c>
      <c r="F180" s="88" t="s">
        <v>2714</v>
      </c>
      <c r="G180" s="88" t="b">
        <v>0</v>
      </c>
      <c r="H180" s="88" t="b">
        <v>0</v>
      </c>
      <c r="I180" s="88" t="b">
        <v>0</v>
      </c>
      <c r="J180" s="88" t="b">
        <v>0</v>
      </c>
      <c r="K180" s="88" t="b">
        <v>0</v>
      </c>
      <c r="L180" s="88" t="b">
        <v>0</v>
      </c>
    </row>
    <row r="181" spans="1:12" ht="15">
      <c r="A181" s="83" t="s">
        <v>2500</v>
      </c>
      <c r="B181" s="88" t="s">
        <v>2555</v>
      </c>
      <c r="C181" s="88">
        <v>3</v>
      </c>
      <c r="D181" s="110">
        <v>0.0015222394841533813</v>
      </c>
      <c r="E181" s="110">
        <v>2.9229848157088827</v>
      </c>
      <c r="F181" s="88" t="s">
        <v>2714</v>
      </c>
      <c r="G181" s="88" t="b">
        <v>0</v>
      </c>
      <c r="H181" s="88" t="b">
        <v>0</v>
      </c>
      <c r="I181" s="88" t="b">
        <v>0</v>
      </c>
      <c r="J181" s="88" t="b">
        <v>0</v>
      </c>
      <c r="K181" s="88" t="b">
        <v>0</v>
      </c>
      <c r="L181" s="88" t="b">
        <v>0</v>
      </c>
    </row>
    <row r="182" spans="1:12" ht="15">
      <c r="A182" s="83" t="s">
        <v>2555</v>
      </c>
      <c r="B182" s="88" t="s">
        <v>2556</v>
      </c>
      <c r="C182" s="88">
        <v>3</v>
      </c>
      <c r="D182" s="110">
        <v>0.0015222394841533813</v>
      </c>
      <c r="E182" s="110">
        <v>3.047923552317183</v>
      </c>
      <c r="F182" s="88" t="s">
        <v>2714</v>
      </c>
      <c r="G182" s="88" t="b">
        <v>0</v>
      </c>
      <c r="H182" s="88" t="b">
        <v>0</v>
      </c>
      <c r="I182" s="88" t="b">
        <v>0</v>
      </c>
      <c r="J182" s="88" t="b">
        <v>0</v>
      </c>
      <c r="K182" s="88" t="b">
        <v>1</v>
      </c>
      <c r="L182" s="88" t="b">
        <v>0</v>
      </c>
    </row>
    <row r="183" spans="1:12" ht="15">
      <c r="A183" s="83" t="s">
        <v>2556</v>
      </c>
      <c r="B183" s="88" t="s">
        <v>2557</v>
      </c>
      <c r="C183" s="88">
        <v>3</v>
      </c>
      <c r="D183" s="110">
        <v>0.0015222394841533813</v>
      </c>
      <c r="E183" s="110">
        <v>3.047923552317183</v>
      </c>
      <c r="F183" s="88" t="s">
        <v>2714</v>
      </c>
      <c r="G183" s="88" t="b">
        <v>0</v>
      </c>
      <c r="H183" s="88" t="b">
        <v>1</v>
      </c>
      <c r="I183" s="88" t="b">
        <v>0</v>
      </c>
      <c r="J183" s="88" t="b">
        <v>0</v>
      </c>
      <c r="K183" s="88" t="b">
        <v>0</v>
      </c>
      <c r="L183" s="88" t="b">
        <v>0</v>
      </c>
    </row>
    <row r="184" spans="1:12" ht="15">
      <c r="A184" s="83" t="s">
        <v>2557</v>
      </c>
      <c r="B184" s="88" t="s">
        <v>2501</v>
      </c>
      <c r="C184" s="88">
        <v>3</v>
      </c>
      <c r="D184" s="110">
        <v>0.0015222394841533813</v>
      </c>
      <c r="E184" s="110">
        <v>2.9229848157088827</v>
      </c>
      <c r="F184" s="88" t="s">
        <v>2714</v>
      </c>
      <c r="G184" s="88" t="b">
        <v>0</v>
      </c>
      <c r="H184" s="88" t="b">
        <v>0</v>
      </c>
      <c r="I184" s="88" t="b">
        <v>0</v>
      </c>
      <c r="J184" s="88" t="b">
        <v>0</v>
      </c>
      <c r="K184" s="88" t="b">
        <v>0</v>
      </c>
      <c r="L184" s="88" t="b">
        <v>0</v>
      </c>
    </row>
    <row r="185" spans="1:12" ht="15">
      <c r="A185" s="83" t="s">
        <v>2501</v>
      </c>
      <c r="B185" s="88" t="s">
        <v>2558</v>
      </c>
      <c r="C185" s="88">
        <v>3</v>
      </c>
      <c r="D185" s="110">
        <v>0.0015222394841533813</v>
      </c>
      <c r="E185" s="110">
        <v>2.9229848157088827</v>
      </c>
      <c r="F185" s="88" t="s">
        <v>2714</v>
      </c>
      <c r="G185" s="88" t="b">
        <v>0</v>
      </c>
      <c r="H185" s="88" t="b">
        <v>0</v>
      </c>
      <c r="I185" s="88" t="b">
        <v>0</v>
      </c>
      <c r="J185" s="88" t="b">
        <v>0</v>
      </c>
      <c r="K185" s="88" t="b">
        <v>0</v>
      </c>
      <c r="L185" s="88" t="b">
        <v>0</v>
      </c>
    </row>
    <row r="186" spans="1:12" ht="15">
      <c r="A186" s="83" t="s">
        <v>2558</v>
      </c>
      <c r="B186" s="88" t="s">
        <v>2559</v>
      </c>
      <c r="C186" s="88">
        <v>3</v>
      </c>
      <c r="D186" s="110">
        <v>0.0015222394841533813</v>
      </c>
      <c r="E186" s="110">
        <v>3.047923552317183</v>
      </c>
      <c r="F186" s="88" t="s">
        <v>2714</v>
      </c>
      <c r="G186" s="88" t="b">
        <v>0</v>
      </c>
      <c r="H186" s="88" t="b">
        <v>0</v>
      </c>
      <c r="I186" s="88" t="b">
        <v>0</v>
      </c>
      <c r="J186" s="88" t="b">
        <v>0</v>
      </c>
      <c r="K186" s="88" t="b">
        <v>0</v>
      </c>
      <c r="L186" s="88" t="b">
        <v>0</v>
      </c>
    </row>
    <row r="187" spans="1:12" ht="15">
      <c r="A187" s="83" t="s">
        <v>2559</v>
      </c>
      <c r="B187" s="88" t="s">
        <v>2560</v>
      </c>
      <c r="C187" s="88">
        <v>3</v>
      </c>
      <c r="D187" s="110">
        <v>0.0015222394841533813</v>
      </c>
      <c r="E187" s="110">
        <v>3.047923552317183</v>
      </c>
      <c r="F187" s="88" t="s">
        <v>2714</v>
      </c>
      <c r="G187" s="88" t="b">
        <v>0</v>
      </c>
      <c r="H187" s="88" t="b">
        <v>0</v>
      </c>
      <c r="I187" s="88" t="b">
        <v>0</v>
      </c>
      <c r="J187" s="88" t="b">
        <v>0</v>
      </c>
      <c r="K187" s="88" t="b">
        <v>0</v>
      </c>
      <c r="L187" s="88" t="b">
        <v>0</v>
      </c>
    </row>
    <row r="188" spans="1:12" ht="15">
      <c r="A188" s="83" t="s">
        <v>2560</v>
      </c>
      <c r="B188" s="88" t="s">
        <v>2561</v>
      </c>
      <c r="C188" s="88">
        <v>3</v>
      </c>
      <c r="D188" s="110">
        <v>0.0015222394841533813</v>
      </c>
      <c r="E188" s="110">
        <v>3.047923552317183</v>
      </c>
      <c r="F188" s="88" t="s">
        <v>2714</v>
      </c>
      <c r="G188" s="88" t="b">
        <v>0</v>
      </c>
      <c r="H188" s="88" t="b">
        <v>0</v>
      </c>
      <c r="I188" s="88" t="b">
        <v>0</v>
      </c>
      <c r="J188" s="88" t="b">
        <v>1</v>
      </c>
      <c r="K188" s="88" t="b">
        <v>0</v>
      </c>
      <c r="L188" s="88" t="b">
        <v>0</v>
      </c>
    </row>
    <row r="189" spans="1:12" ht="15">
      <c r="A189" s="83" t="s">
        <v>2561</v>
      </c>
      <c r="B189" s="88" t="s">
        <v>2469</v>
      </c>
      <c r="C189" s="88">
        <v>3</v>
      </c>
      <c r="D189" s="110">
        <v>0.0015222394841533813</v>
      </c>
      <c r="E189" s="110">
        <v>2.8260748027008264</v>
      </c>
      <c r="F189" s="88" t="s">
        <v>2714</v>
      </c>
      <c r="G189" s="88" t="b">
        <v>1</v>
      </c>
      <c r="H189" s="88" t="b">
        <v>0</v>
      </c>
      <c r="I189" s="88" t="b">
        <v>0</v>
      </c>
      <c r="J189" s="88" t="b">
        <v>0</v>
      </c>
      <c r="K189" s="88" t="b">
        <v>0</v>
      </c>
      <c r="L189" s="88" t="b">
        <v>0</v>
      </c>
    </row>
    <row r="190" spans="1:12" ht="15">
      <c r="A190" s="83" t="s">
        <v>2469</v>
      </c>
      <c r="B190" s="88" t="s">
        <v>2562</v>
      </c>
      <c r="C190" s="88">
        <v>3</v>
      </c>
      <c r="D190" s="110">
        <v>0.0015222394841533813</v>
      </c>
      <c r="E190" s="110">
        <v>2.8260748027008264</v>
      </c>
      <c r="F190" s="88" t="s">
        <v>2714</v>
      </c>
      <c r="G190" s="88" t="b">
        <v>0</v>
      </c>
      <c r="H190" s="88" t="b">
        <v>0</v>
      </c>
      <c r="I190" s="88" t="b">
        <v>0</v>
      </c>
      <c r="J190" s="88" t="b">
        <v>0</v>
      </c>
      <c r="K190" s="88" t="b">
        <v>0</v>
      </c>
      <c r="L190" s="88" t="b">
        <v>0</v>
      </c>
    </row>
    <row r="191" spans="1:12" ht="15">
      <c r="A191" s="83" t="s">
        <v>2562</v>
      </c>
      <c r="B191" s="88" t="s">
        <v>1944</v>
      </c>
      <c r="C191" s="88">
        <v>3</v>
      </c>
      <c r="D191" s="110">
        <v>0.0015222394841533813</v>
      </c>
      <c r="E191" s="110">
        <v>1.2261917306271386</v>
      </c>
      <c r="F191" s="88" t="s">
        <v>2714</v>
      </c>
      <c r="G191" s="88" t="b">
        <v>0</v>
      </c>
      <c r="H191" s="88" t="b">
        <v>0</v>
      </c>
      <c r="I191" s="88" t="b">
        <v>0</v>
      </c>
      <c r="J191" s="88" t="b">
        <v>0</v>
      </c>
      <c r="K191" s="88" t="b">
        <v>0</v>
      </c>
      <c r="L191" s="88" t="b">
        <v>0</v>
      </c>
    </row>
    <row r="192" spans="1:12" ht="15">
      <c r="A192" s="83" t="s">
        <v>2433</v>
      </c>
      <c r="B192" s="88" t="s">
        <v>2457</v>
      </c>
      <c r="C192" s="88">
        <v>3</v>
      </c>
      <c r="D192" s="110">
        <v>0.0015222394841533813</v>
      </c>
      <c r="E192" s="110">
        <v>2.224014811372864</v>
      </c>
      <c r="F192" s="88" t="s">
        <v>2714</v>
      </c>
      <c r="G192" s="88" t="b">
        <v>0</v>
      </c>
      <c r="H192" s="88" t="b">
        <v>0</v>
      </c>
      <c r="I192" s="88" t="b">
        <v>0</v>
      </c>
      <c r="J192" s="88" t="b">
        <v>0</v>
      </c>
      <c r="K192" s="88" t="b">
        <v>0</v>
      </c>
      <c r="L192" s="88" t="b">
        <v>0</v>
      </c>
    </row>
    <row r="193" spans="1:12" ht="15">
      <c r="A193" s="83" t="s">
        <v>1997</v>
      </c>
      <c r="B193" s="88" t="s">
        <v>1967</v>
      </c>
      <c r="C193" s="88">
        <v>2</v>
      </c>
      <c r="D193" s="110">
        <v>0.0011143972919833293</v>
      </c>
      <c r="E193" s="110">
        <v>0.6365844890014589</v>
      </c>
      <c r="F193" s="88" t="s">
        <v>2714</v>
      </c>
      <c r="G193" s="88" t="b">
        <v>0</v>
      </c>
      <c r="H193" s="88" t="b">
        <v>0</v>
      </c>
      <c r="I193" s="88" t="b">
        <v>0</v>
      </c>
      <c r="J193" s="88" t="b">
        <v>0</v>
      </c>
      <c r="K193" s="88" t="b">
        <v>0</v>
      </c>
      <c r="L193" s="88" t="b">
        <v>0</v>
      </c>
    </row>
    <row r="194" spans="1:12" ht="15">
      <c r="A194" s="83" t="s">
        <v>1985</v>
      </c>
      <c r="B194" s="88" t="s">
        <v>2578</v>
      </c>
      <c r="C194" s="88">
        <v>2</v>
      </c>
      <c r="D194" s="110">
        <v>0.0011143972919833293</v>
      </c>
      <c r="E194" s="110">
        <v>2.6219548200449014</v>
      </c>
      <c r="F194" s="88" t="s">
        <v>2714</v>
      </c>
      <c r="G194" s="88" t="b">
        <v>0</v>
      </c>
      <c r="H194" s="88" t="b">
        <v>0</v>
      </c>
      <c r="I194" s="88" t="b">
        <v>0</v>
      </c>
      <c r="J194" s="88" t="b">
        <v>0</v>
      </c>
      <c r="K194" s="88" t="b">
        <v>0</v>
      </c>
      <c r="L194" s="88" t="b">
        <v>0</v>
      </c>
    </row>
    <row r="195" spans="1:12" ht="15">
      <c r="A195" s="83" t="s">
        <v>2578</v>
      </c>
      <c r="B195" s="88" t="s">
        <v>2028</v>
      </c>
      <c r="C195" s="88">
        <v>2</v>
      </c>
      <c r="D195" s="110">
        <v>0.0011143972919833293</v>
      </c>
      <c r="E195" s="110">
        <v>2.4836521218786203</v>
      </c>
      <c r="F195" s="88" t="s">
        <v>2714</v>
      </c>
      <c r="G195" s="88" t="b">
        <v>0</v>
      </c>
      <c r="H195" s="88" t="b">
        <v>0</v>
      </c>
      <c r="I195" s="88" t="b">
        <v>0</v>
      </c>
      <c r="J195" s="88" t="b">
        <v>0</v>
      </c>
      <c r="K195" s="88" t="b">
        <v>0</v>
      </c>
      <c r="L195" s="88" t="b">
        <v>0</v>
      </c>
    </row>
    <row r="196" spans="1:12" ht="15">
      <c r="A196" s="83" t="s">
        <v>2028</v>
      </c>
      <c r="B196" s="88" t="s">
        <v>1978</v>
      </c>
      <c r="C196" s="88">
        <v>2</v>
      </c>
      <c r="D196" s="110">
        <v>0.0011143972919833293</v>
      </c>
      <c r="E196" s="110">
        <v>1.8483511974119786</v>
      </c>
      <c r="F196" s="88" t="s">
        <v>2714</v>
      </c>
      <c r="G196" s="88" t="b">
        <v>0</v>
      </c>
      <c r="H196" s="88" t="b">
        <v>0</v>
      </c>
      <c r="I196" s="88" t="b">
        <v>0</v>
      </c>
      <c r="J196" s="88" t="b">
        <v>0</v>
      </c>
      <c r="K196" s="88" t="b">
        <v>0</v>
      </c>
      <c r="L196" s="88" t="b">
        <v>0</v>
      </c>
    </row>
    <row r="197" spans="1:12" ht="15">
      <c r="A197" s="83" t="s">
        <v>1978</v>
      </c>
      <c r="B197" s="88" t="s">
        <v>2433</v>
      </c>
      <c r="C197" s="88">
        <v>2</v>
      </c>
      <c r="D197" s="110">
        <v>0.0011143972919833293</v>
      </c>
      <c r="E197" s="110">
        <v>1.5473212017479974</v>
      </c>
      <c r="F197" s="88" t="s">
        <v>2714</v>
      </c>
      <c r="G197" s="88" t="b">
        <v>0</v>
      </c>
      <c r="H197" s="88" t="b">
        <v>0</v>
      </c>
      <c r="I197" s="88" t="b">
        <v>0</v>
      </c>
      <c r="J197" s="88" t="b">
        <v>0</v>
      </c>
      <c r="K197" s="88" t="b">
        <v>0</v>
      </c>
      <c r="L197" s="88" t="b">
        <v>0</v>
      </c>
    </row>
    <row r="198" spans="1:12" ht="15">
      <c r="A198" s="83" t="s">
        <v>2433</v>
      </c>
      <c r="B198" s="88" t="s">
        <v>2579</v>
      </c>
      <c r="C198" s="88">
        <v>2</v>
      </c>
      <c r="D198" s="110">
        <v>0.0011143972919833293</v>
      </c>
      <c r="E198" s="110">
        <v>2.4458635609892205</v>
      </c>
      <c r="F198" s="88" t="s">
        <v>2714</v>
      </c>
      <c r="G198" s="88" t="b">
        <v>0</v>
      </c>
      <c r="H198" s="88" t="b">
        <v>0</v>
      </c>
      <c r="I198" s="88" t="b">
        <v>0</v>
      </c>
      <c r="J198" s="88" t="b">
        <v>0</v>
      </c>
      <c r="K198" s="88" t="b">
        <v>0</v>
      </c>
      <c r="L198" s="88" t="b">
        <v>0</v>
      </c>
    </row>
    <row r="199" spans="1:12" ht="15">
      <c r="A199" s="83" t="s">
        <v>2579</v>
      </c>
      <c r="B199" s="88" t="s">
        <v>2580</v>
      </c>
      <c r="C199" s="88">
        <v>2</v>
      </c>
      <c r="D199" s="110">
        <v>0.0011143972919833293</v>
      </c>
      <c r="E199" s="110">
        <v>3.224014811372864</v>
      </c>
      <c r="F199" s="88" t="s">
        <v>2714</v>
      </c>
      <c r="G199" s="88" t="b">
        <v>0</v>
      </c>
      <c r="H199" s="88" t="b">
        <v>0</v>
      </c>
      <c r="I199" s="88" t="b">
        <v>0</v>
      </c>
      <c r="J199" s="88" t="b">
        <v>0</v>
      </c>
      <c r="K199" s="88" t="b">
        <v>0</v>
      </c>
      <c r="L199" s="88" t="b">
        <v>0</v>
      </c>
    </row>
    <row r="200" spans="1:12" ht="15">
      <c r="A200" s="83" t="s">
        <v>2580</v>
      </c>
      <c r="B200" s="88" t="s">
        <v>2581</v>
      </c>
      <c r="C200" s="88">
        <v>2</v>
      </c>
      <c r="D200" s="110">
        <v>0.0011143972919833293</v>
      </c>
      <c r="E200" s="110">
        <v>3.224014811372864</v>
      </c>
      <c r="F200" s="88" t="s">
        <v>2714</v>
      </c>
      <c r="G200" s="88" t="b">
        <v>0</v>
      </c>
      <c r="H200" s="88" t="b">
        <v>0</v>
      </c>
      <c r="I200" s="88" t="b">
        <v>0</v>
      </c>
      <c r="J200" s="88" t="b">
        <v>0</v>
      </c>
      <c r="K200" s="88" t="b">
        <v>0</v>
      </c>
      <c r="L200" s="88" t="b">
        <v>0</v>
      </c>
    </row>
    <row r="201" spans="1:12" ht="15">
      <c r="A201" s="83" t="s">
        <v>2581</v>
      </c>
      <c r="B201" s="88" t="s">
        <v>1941</v>
      </c>
      <c r="C201" s="88">
        <v>2</v>
      </c>
      <c r="D201" s="110">
        <v>0.0011143972919833293</v>
      </c>
      <c r="E201" s="110">
        <v>2.746893556653202</v>
      </c>
      <c r="F201" s="88" t="s">
        <v>2714</v>
      </c>
      <c r="G201" s="88" t="b">
        <v>0</v>
      </c>
      <c r="H201" s="88" t="b">
        <v>0</v>
      </c>
      <c r="I201" s="88" t="b">
        <v>0</v>
      </c>
      <c r="J201" s="88" t="b">
        <v>0</v>
      </c>
      <c r="K201" s="88" t="b">
        <v>0</v>
      </c>
      <c r="L201" s="88" t="b">
        <v>0</v>
      </c>
    </row>
    <row r="202" spans="1:12" ht="15">
      <c r="A202" s="83" t="s">
        <v>1941</v>
      </c>
      <c r="B202" s="88" t="s">
        <v>2508</v>
      </c>
      <c r="C202" s="88">
        <v>2</v>
      </c>
      <c r="D202" s="110">
        <v>0.0011143972919833293</v>
      </c>
      <c r="E202" s="110">
        <v>2.5708022975975204</v>
      </c>
      <c r="F202" s="88" t="s">
        <v>2714</v>
      </c>
      <c r="G202" s="88" t="b">
        <v>0</v>
      </c>
      <c r="H202" s="88" t="b">
        <v>0</v>
      </c>
      <c r="I202" s="88" t="b">
        <v>0</v>
      </c>
      <c r="J202" s="88" t="b">
        <v>0</v>
      </c>
      <c r="K202" s="88" t="b">
        <v>0</v>
      </c>
      <c r="L202" s="88" t="b">
        <v>0</v>
      </c>
    </row>
    <row r="203" spans="1:12" ht="15">
      <c r="A203" s="83" t="s">
        <v>2508</v>
      </c>
      <c r="B203" s="88" t="s">
        <v>2582</v>
      </c>
      <c r="C203" s="88">
        <v>2</v>
      </c>
      <c r="D203" s="110">
        <v>0.0011143972919833293</v>
      </c>
      <c r="E203" s="110">
        <v>3.047923552317183</v>
      </c>
      <c r="F203" s="88" t="s">
        <v>2714</v>
      </c>
      <c r="G203" s="88" t="b">
        <v>0</v>
      </c>
      <c r="H203" s="88" t="b">
        <v>0</v>
      </c>
      <c r="I203" s="88" t="b">
        <v>0</v>
      </c>
      <c r="J203" s="88" t="b">
        <v>0</v>
      </c>
      <c r="K203" s="88" t="b">
        <v>0</v>
      </c>
      <c r="L203" s="88" t="b">
        <v>0</v>
      </c>
    </row>
    <row r="204" spans="1:12" ht="15">
      <c r="A204" s="83" t="s">
        <v>2582</v>
      </c>
      <c r="B204" s="88" t="s">
        <v>2583</v>
      </c>
      <c r="C204" s="88">
        <v>2</v>
      </c>
      <c r="D204" s="110">
        <v>0.0011143972919833293</v>
      </c>
      <c r="E204" s="110">
        <v>3.224014811372864</v>
      </c>
      <c r="F204" s="88" t="s">
        <v>2714</v>
      </c>
      <c r="G204" s="88" t="b">
        <v>0</v>
      </c>
      <c r="H204" s="88" t="b">
        <v>0</v>
      </c>
      <c r="I204" s="88" t="b">
        <v>0</v>
      </c>
      <c r="J204" s="88" t="b">
        <v>0</v>
      </c>
      <c r="K204" s="88" t="b">
        <v>0</v>
      </c>
      <c r="L204" s="88" t="b">
        <v>0</v>
      </c>
    </row>
    <row r="205" spans="1:12" ht="15">
      <c r="A205" s="83" t="s">
        <v>2583</v>
      </c>
      <c r="B205" s="88" t="s">
        <v>2584</v>
      </c>
      <c r="C205" s="88">
        <v>2</v>
      </c>
      <c r="D205" s="110">
        <v>0.0011143972919833293</v>
      </c>
      <c r="E205" s="110">
        <v>3.224014811372864</v>
      </c>
      <c r="F205" s="88" t="s">
        <v>2714</v>
      </c>
      <c r="G205" s="88" t="b">
        <v>0</v>
      </c>
      <c r="H205" s="88" t="b">
        <v>0</v>
      </c>
      <c r="I205" s="88" t="b">
        <v>0</v>
      </c>
      <c r="J205" s="88" t="b">
        <v>0</v>
      </c>
      <c r="K205" s="88" t="b">
        <v>0</v>
      </c>
      <c r="L205" s="88" t="b">
        <v>0</v>
      </c>
    </row>
    <row r="206" spans="1:12" ht="15">
      <c r="A206" s="83" t="s">
        <v>2584</v>
      </c>
      <c r="B206" s="88" t="s">
        <v>2585</v>
      </c>
      <c r="C206" s="88">
        <v>2</v>
      </c>
      <c r="D206" s="110">
        <v>0.0011143972919833293</v>
      </c>
      <c r="E206" s="110">
        <v>3.224014811372864</v>
      </c>
      <c r="F206" s="88" t="s">
        <v>2714</v>
      </c>
      <c r="G206" s="88" t="b">
        <v>0</v>
      </c>
      <c r="H206" s="88" t="b">
        <v>0</v>
      </c>
      <c r="I206" s="88" t="b">
        <v>0</v>
      </c>
      <c r="J206" s="88" t="b">
        <v>0</v>
      </c>
      <c r="K206" s="88" t="b">
        <v>0</v>
      </c>
      <c r="L206" s="88" t="b">
        <v>0</v>
      </c>
    </row>
    <row r="207" spans="1:12" ht="15">
      <c r="A207" s="83" t="s">
        <v>2585</v>
      </c>
      <c r="B207" s="88" t="s">
        <v>2586</v>
      </c>
      <c r="C207" s="88">
        <v>2</v>
      </c>
      <c r="D207" s="110">
        <v>0.0011143972919833293</v>
      </c>
      <c r="E207" s="110">
        <v>3.224014811372864</v>
      </c>
      <c r="F207" s="88" t="s">
        <v>2714</v>
      </c>
      <c r="G207" s="88" t="b">
        <v>0</v>
      </c>
      <c r="H207" s="88" t="b">
        <v>0</v>
      </c>
      <c r="I207" s="88" t="b">
        <v>0</v>
      </c>
      <c r="J207" s="88" t="b">
        <v>0</v>
      </c>
      <c r="K207" s="88" t="b">
        <v>0</v>
      </c>
      <c r="L207" s="88" t="b">
        <v>0</v>
      </c>
    </row>
    <row r="208" spans="1:12" ht="15">
      <c r="A208" s="83" t="s">
        <v>2586</v>
      </c>
      <c r="B208" s="88" t="s">
        <v>2441</v>
      </c>
      <c r="C208" s="88">
        <v>2</v>
      </c>
      <c r="D208" s="110">
        <v>0.0011143972919833293</v>
      </c>
      <c r="E208" s="110">
        <v>2.6799467670225883</v>
      </c>
      <c r="F208" s="88" t="s">
        <v>2714</v>
      </c>
      <c r="G208" s="88" t="b">
        <v>0</v>
      </c>
      <c r="H208" s="88" t="b">
        <v>0</v>
      </c>
      <c r="I208" s="88" t="b">
        <v>0</v>
      </c>
      <c r="J208" s="88" t="b">
        <v>0</v>
      </c>
      <c r="K208" s="88" t="b">
        <v>0</v>
      </c>
      <c r="L208" s="88" t="b">
        <v>0</v>
      </c>
    </row>
    <row r="209" spans="1:12" ht="15">
      <c r="A209" s="83" t="s">
        <v>2441</v>
      </c>
      <c r="B209" s="88" t="s">
        <v>1964</v>
      </c>
      <c r="C209" s="88">
        <v>2</v>
      </c>
      <c r="D209" s="110">
        <v>0.0011143972919833293</v>
      </c>
      <c r="E209" s="110">
        <v>0.7714617481439388</v>
      </c>
      <c r="F209" s="88" t="s">
        <v>2714</v>
      </c>
      <c r="G209" s="88" t="b">
        <v>0</v>
      </c>
      <c r="H209" s="88" t="b">
        <v>0</v>
      </c>
      <c r="I209" s="88" t="b">
        <v>0</v>
      </c>
      <c r="J209" s="88" t="b">
        <v>0</v>
      </c>
      <c r="K209" s="88" t="b">
        <v>0</v>
      </c>
      <c r="L209" s="88" t="b">
        <v>0</v>
      </c>
    </row>
    <row r="210" spans="1:12" ht="15">
      <c r="A210" s="83" t="s">
        <v>1965</v>
      </c>
      <c r="B210" s="88" t="s">
        <v>2587</v>
      </c>
      <c r="C210" s="88">
        <v>2</v>
      </c>
      <c r="D210" s="110">
        <v>0.0011143972919833293</v>
      </c>
      <c r="E210" s="110">
        <v>1.3102009589891472</v>
      </c>
      <c r="F210" s="88" t="s">
        <v>2714</v>
      </c>
      <c r="G210" s="88" t="b">
        <v>0</v>
      </c>
      <c r="H210" s="88" t="b">
        <v>0</v>
      </c>
      <c r="I210" s="88" t="b">
        <v>0</v>
      </c>
      <c r="J210" s="88" t="b">
        <v>0</v>
      </c>
      <c r="K210" s="88" t="b">
        <v>0</v>
      </c>
      <c r="L210" s="88" t="b">
        <v>0</v>
      </c>
    </row>
    <row r="211" spans="1:12" ht="15">
      <c r="A211" s="83" t="s">
        <v>2587</v>
      </c>
      <c r="B211" s="88" t="s">
        <v>2464</v>
      </c>
      <c r="C211" s="88">
        <v>2</v>
      </c>
      <c r="D211" s="110">
        <v>0.0011143972919833293</v>
      </c>
      <c r="E211" s="110">
        <v>2.8260748027008264</v>
      </c>
      <c r="F211" s="88" t="s">
        <v>2714</v>
      </c>
      <c r="G211" s="88" t="b">
        <v>0</v>
      </c>
      <c r="H211" s="88" t="b">
        <v>0</v>
      </c>
      <c r="I211" s="88" t="b">
        <v>0</v>
      </c>
      <c r="J211" s="88" t="b">
        <v>0</v>
      </c>
      <c r="K211" s="88" t="b">
        <v>0</v>
      </c>
      <c r="L211" s="88" t="b">
        <v>0</v>
      </c>
    </row>
    <row r="212" spans="1:12" ht="15">
      <c r="A212" s="83" t="s">
        <v>2464</v>
      </c>
      <c r="B212" s="88" t="s">
        <v>2012</v>
      </c>
      <c r="C212" s="88">
        <v>2</v>
      </c>
      <c r="D212" s="110">
        <v>0.0011143972919833293</v>
      </c>
      <c r="E212" s="110">
        <v>1.8966558769865338</v>
      </c>
      <c r="F212" s="88" t="s">
        <v>2714</v>
      </c>
      <c r="G212" s="88" t="b">
        <v>0</v>
      </c>
      <c r="H212" s="88" t="b">
        <v>0</v>
      </c>
      <c r="I212" s="88" t="b">
        <v>0</v>
      </c>
      <c r="J212" s="88" t="b">
        <v>0</v>
      </c>
      <c r="K212" s="88" t="b">
        <v>0</v>
      </c>
      <c r="L212" s="88" t="b">
        <v>0</v>
      </c>
    </row>
    <row r="213" spans="1:12" ht="15">
      <c r="A213" s="83" t="s">
        <v>2012</v>
      </c>
      <c r="B213" s="88" t="s">
        <v>2027</v>
      </c>
      <c r="C213" s="88">
        <v>2</v>
      </c>
      <c r="D213" s="110">
        <v>0.0011143972919833293</v>
      </c>
      <c r="E213" s="110">
        <v>1.8048855036308884</v>
      </c>
      <c r="F213" s="88" t="s">
        <v>2714</v>
      </c>
      <c r="G213" s="88" t="b">
        <v>0</v>
      </c>
      <c r="H213" s="88" t="b">
        <v>0</v>
      </c>
      <c r="I213" s="88" t="b">
        <v>0</v>
      </c>
      <c r="J213" s="88" t="b">
        <v>0</v>
      </c>
      <c r="K213" s="88" t="b">
        <v>0</v>
      </c>
      <c r="L213" s="88" t="b">
        <v>0</v>
      </c>
    </row>
    <row r="214" spans="1:12" ht="15">
      <c r="A214" s="83" t="s">
        <v>2027</v>
      </c>
      <c r="B214" s="88" t="s">
        <v>2026</v>
      </c>
      <c r="C214" s="88">
        <v>2</v>
      </c>
      <c r="D214" s="110">
        <v>0.0011143972919833293</v>
      </c>
      <c r="E214" s="110">
        <v>2.5038555079669074</v>
      </c>
      <c r="F214" s="88" t="s">
        <v>2714</v>
      </c>
      <c r="G214" s="88" t="b">
        <v>0</v>
      </c>
      <c r="H214" s="88" t="b">
        <v>0</v>
      </c>
      <c r="I214" s="88" t="b">
        <v>0</v>
      </c>
      <c r="J214" s="88" t="b">
        <v>0</v>
      </c>
      <c r="K214" s="88" t="b">
        <v>0</v>
      </c>
      <c r="L214" s="88" t="b">
        <v>0</v>
      </c>
    </row>
    <row r="215" spans="1:12" ht="15">
      <c r="A215" s="83" t="s">
        <v>2509</v>
      </c>
      <c r="B215" s="88" t="s">
        <v>2588</v>
      </c>
      <c r="C215" s="88">
        <v>2</v>
      </c>
      <c r="D215" s="110">
        <v>0.0011143972919833293</v>
      </c>
      <c r="E215" s="110">
        <v>3.047923552317183</v>
      </c>
      <c r="F215" s="88" t="s">
        <v>2714</v>
      </c>
      <c r="G215" s="88" t="b">
        <v>0</v>
      </c>
      <c r="H215" s="88" t="b">
        <v>0</v>
      </c>
      <c r="I215" s="88" t="b">
        <v>0</v>
      </c>
      <c r="J215" s="88" t="b">
        <v>0</v>
      </c>
      <c r="K215" s="88" t="b">
        <v>0</v>
      </c>
      <c r="L215" s="88" t="b">
        <v>0</v>
      </c>
    </row>
    <row r="216" spans="1:12" ht="15">
      <c r="A216" s="83" t="s">
        <v>2588</v>
      </c>
      <c r="B216" s="88" t="s">
        <v>402</v>
      </c>
      <c r="C216" s="88">
        <v>2</v>
      </c>
      <c r="D216" s="110">
        <v>0.0011143972919833293</v>
      </c>
      <c r="E216" s="110">
        <v>3.224014811372864</v>
      </c>
      <c r="F216" s="88" t="s">
        <v>2714</v>
      </c>
      <c r="G216" s="88" t="b">
        <v>0</v>
      </c>
      <c r="H216" s="88" t="b">
        <v>0</v>
      </c>
      <c r="I216" s="88" t="b">
        <v>0</v>
      </c>
      <c r="J216" s="88" t="b">
        <v>0</v>
      </c>
      <c r="K216" s="88" t="b">
        <v>0</v>
      </c>
      <c r="L216" s="88" t="b">
        <v>0</v>
      </c>
    </row>
    <row r="217" spans="1:12" ht="15">
      <c r="A217" s="83" t="s">
        <v>402</v>
      </c>
      <c r="B217" s="88" t="s">
        <v>2589</v>
      </c>
      <c r="C217" s="88">
        <v>2</v>
      </c>
      <c r="D217" s="110">
        <v>0.0011143972919833293</v>
      </c>
      <c r="E217" s="110">
        <v>3.224014811372864</v>
      </c>
      <c r="F217" s="88" t="s">
        <v>2714</v>
      </c>
      <c r="G217" s="88" t="b">
        <v>0</v>
      </c>
      <c r="H217" s="88" t="b">
        <v>0</v>
      </c>
      <c r="I217" s="88" t="b">
        <v>0</v>
      </c>
      <c r="J217" s="88" t="b">
        <v>0</v>
      </c>
      <c r="K217" s="88" t="b">
        <v>0</v>
      </c>
      <c r="L217" s="88" t="b">
        <v>0</v>
      </c>
    </row>
    <row r="218" spans="1:12" ht="15">
      <c r="A218" s="83" t="s">
        <v>2589</v>
      </c>
      <c r="B218" s="88" t="s">
        <v>2590</v>
      </c>
      <c r="C218" s="88">
        <v>2</v>
      </c>
      <c r="D218" s="110">
        <v>0.0011143972919833293</v>
      </c>
      <c r="E218" s="110">
        <v>3.224014811372864</v>
      </c>
      <c r="F218" s="88" t="s">
        <v>2714</v>
      </c>
      <c r="G218" s="88" t="b">
        <v>0</v>
      </c>
      <c r="H218" s="88" t="b">
        <v>0</v>
      </c>
      <c r="I218" s="88" t="b">
        <v>0</v>
      </c>
      <c r="J218" s="88" t="b">
        <v>0</v>
      </c>
      <c r="K218" s="88" t="b">
        <v>0</v>
      </c>
      <c r="L218" s="88" t="b">
        <v>0</v>
      </c>
    </row>
    <row r="219" spans="1:12" ht="15">
      <c r="A219" s="83" t="s">
        <v>2590</v>
      </c>
      <c r="B219" s="88" t="s">
        <v>1968</v>
      </c>
      <c r="C219" s="88">
        <v>2</v>
      </c>
      <c r="D219" s="110">
        <v>0.0011143972919833293</v>
      </c>
      <c r="E219" s="110">
        <v>1.6165597881581955</v>
      </c>
      <c r="F219" s="88" t="s">
        <v>2714</v>
      </c>
      <c r="G219" s="88" t="b">
        <v>0</v>
      </c>
      <c r="H219" s="88" t="b">
        <v>0</v>
      </c>
      <c r="I219" s="88" t="b">
        <v>0</v>
      </c>
      <c r="J219" s="88" t="b">
        <v>0</v>
      </c>
      <c r="K219" s="88" t="b">
        <v>0</v>
      </c>
      <c r="L219" s="88" t="b">
        <v>0</v>
      </c>
    </row>
    <row r="220" spans="1:12" ht="15">
      <c r="A220" s="83" t="s">
        <v>1968</v>
      </c>
      <c r="B220" s="88" t="s">
        <v>2591</v>
      </c>
      <c r="C220" s="88">
        <v>2</v>
      </c>
      <c r="D220" s="110">
        <v>0.0011143972919833293</v>
      </c>
      <c r="E220" s="110">
        <v>1.6219548200449017</v>
      </c>
      <c r="F220" s="88" t="s">
        <v>2714</v>
      </c>
      <c r="G220" s="88" t="b">
        <v>0</v>
      </c>
      <c r="H220" s="88" t="b">
        <v>0</v>
      </c>
      <c r="I220" s="88" t="b">
        <v>0</v>
      </c>
      <c r="J220" s="88" t="b">
        <v>0</v>
      </c>
      <c r="K220" s="88" t="b">
        <v>0</v>
      </c>
      <c r="L220" s="88" t="b">
        <v>0</v>
      </c>
    </row>
    <row r="221" spans="1:12" ht="15">
      <c r="A221" s="83" t="s">
        <v>2591</v>
      </c>
      <c r="B221" s="88" t="s">
        <v>2592</v>
      </c>
      <c r="C221" s="88">
        <v>2</v>
      </c>
      <c r="D221" s="110">
        <v>0.0011143972919833293</v>
      </c>
      <c r="E221" s="110">
        <v>3.224014811372864</v>
      </c>
      <c r="F221" s="88" t="s">
        <v>2714</v>
      </c>
      <c r="G221" s="88" t="b">
        <v>0</v>
      </c>
      <c r="H221" s="88" t="b">
        <v>0</v>
      </c>
      <c r="I221" s="88" t="b">
        <v>0</v>
      </c>
      <c r="J221" s="88" t="b">
        <v>0</v>
      </c>
      <c r="K221" s="88" t="b">
        <v>0</v>
      </c>
      <c r="L221" s="88" t="b">
        <v>0</v>
      </c>
    </row>
    <row r="222" spans="1:12" ht="15">
      <c r="A222" s="83" t="s">
        <v>2592</v>
      </c>
      <c r="B222" s="88" t="s">
        <v>2510</v>
      </c>
      <c r="C222" s="88">
        <v>2</v>
      </c>
      <c r="D222" s="110">
        <v>0.0011143972919833293</v>
      </c>
      <c r="E222" s="110">
        <v>3.047923552317183</v>
      </c>
      <c r="F222" s="88" t="s">
        <v>2714</v>
      </c>
      <c r="G222" s="88" t="b">
        <v>0</v>
      </c>
      <c r="H222" s="88" t="b">
        <v>0</v>
      </c>
      <c r="I222" s="88" t="b">
        <v>0</v>
      </c>
      <c r="J222" s="88" t="b">
        <v>0</v>
      </c>
      <c r="K222" s="88" t="b">
        <v>0</v>
      </c>
      <c r="L222" s="88" t="b">
        <v>0</v>
      </c>
    </row>
    <row r="223" spans="1:12" ht="15">
      <c r="A223" s="83" t="s">
        <v>2510</v>
      </c>
      <c r="B223" s="88" t="s">
        <v>2593</v>
      </c>
      <c r="C223" s="88">
        <v>2</v>
      </c>
      <c r="D223" s="110">
        <v>0.0011143972919833293</v>
      </c>
      <c r="E223" s="110">
        <v>3.047923552317183</v>
      </c>
      <c r="F223" s="88" t="s">
        <v>2714</v>
      </c>
      <c r="G223" s="88" t="b">
        <v>0</v>
      </c>
      <c r="H223" s="88" t="b">
        <v>0</v>
      </c>
      <c r="I223" s="88" t="b">
        <v>0</v>
      </c>
      <c r="J223" s="88" t="b">
        <v>0</v>
      </c>
      <c r="K223" s="88" t="b">
        <v>0</v>
      </c>
      <c r="L223" s="88" t="b">
        <v>0</v>
      </c>
    </row>
    <row r="224" spans="1:12" ht="15">
      <c r="A224" s="83" t="s">
        <v>2593</v>
      </c>
      <c r="B224" s="88" t="s">
        <v>2594</v>
      </c>
      <c r="C224" s="88">
        <v>2</v>
      </c>
      <c r="D224" s="110">
        <v>0.0011143972919833293</v>
      </c>
      <c r="E224" s="110">
        <v>3.224014811372864</v>
      </c>
      <c r="F224" s="88" t="s">
        <v>2714</v>
      </c>
      <c r="G224" s="88" t="b">
        <v>0</v>
      </c>
      <c r="H224" s="88" t="b">
        <v>0</v>
      </c>
      <c r="I224" s="88" t="b">
        <v>0</v>
      </c>
      <c r="J224" s="88" t="b">
        <v>0</v>
      </c>
      <c r="K224" s="88" t="b">
        <v>0</v>
      </c>
      <c r="L224" s="88" t="b">
        <v>0</v>
      </c>
    </row>
    <row r="225" spans="1:12" ht="15">
      <c r="A225" s="83" t="s">
        <v>2594</v>
      </c>
      <c r="B225" s="88" t="s">
        <v>2442</v>
      </c>
      <c r="C225" s="88">
        <v>2</v>
      </c>
      <c r="D225" s="110">
        <v>0.0011143972919833293</v>
      </c>
      <c r="E225" s="110">
        <v>2.6799467670225883</v>
      </c>
      <c r="F225" s="88" t="s">
        <v>2714</v>
      </c>
      <c r="G225" s="88" t="b">
        <v>0</v>
      </c>
      <c r="H225" s="88" t="b">
        <v>0</v>
      </c>
      <c r="I225" s="88" t="b">
        <v>0</v>
      </c>
      <c r="J225" s="88" t="b">
        <v>0</v>
      </c>
      <c r="K225" s="88" t="b">
        <v>0</v>
      </c>
      <c r="L225" s="88" t="b">
        <v>0</v>
      </c>
    </row>
    <row r="226" spans="1:12" ht="15">
      <c r="A226" s="83" t="s">
        <v>2442</v>
      </c>
      <c r="B226" s="88" t="s">
        <v>2443</v>
      </c>
      <c r="C226" s="88">
        <v>2</v>
      </c>
      <c r="D226" s="110">
        <v>0.0011143972919833293</v>
      </c>
      <c r="E226" s="110">
        <v>2.202825512302926</v>
      </c>
      <c r="F226" s="88" t="s">
        <v>2714</v>
      </c>
      <c r="G226" s="88" t="b">
        <v>0</v>
      </c>
      <c r="H226" s="88" t="b">
        <v>0</v>
      </c>
      <c r="I226" s="88" t="b">
        <v>0</v>
      </c>
      <c r="J226" s="88" t="b">
        <v>0</v>
      </c>
      <c r="K226" s="88" t="b">
        <v>0</v>
      </c>
      <c r="L226" s="88" t="b">
        <v>0</v>
      </c>
    </row>
    <row r="227" spans="1:12" ht="15">
      <c r="A227" s="83" t="s">
        <v>2443</v>
      </c>
      <c r="B227" s="88" t="s">
        <v>2595</v>
      </c>
      <c r="C227" s="88">
        <v>2</v>
      </c>
      <c r="D227" s="110">
        <v>0.0011143972919833293</v>
      </c>
      <c r="E227" s="110">
        <v>2.6799467670225883</v>
      </c>
      <c r="F227" s="88" t="s">
        <v>2714</v>
      </c>
      <c r="G227" s="88" t="b">
        <v>0</v>
      </c>
      <c r="H227" s="88" t="b">
        <v>0</v>
      </c>
      <c r="I227" s="88" t="b">
        <v>0</v>
      </c>
      <c r="J227" s="88" t="b">
        <v>0</v>
      </c>
      <c r="K227" s="88" t="b">
        <v>0</v>
      </c>
      <c r="L227" s="88" t="b">
        <v>0</v>
      </c>
    </row>
    <row r="228" spans="1:12" ht="15">
      <c r="A228" s="83" t="s">
        <v>2595</v>
      </c>
      <c r="B228" s="88" t="s">
        <v>2511</v>
      </c>
      <c r="C228" s="88">
        <v>2</v>
      </c>
      <c r="D228" s="110">
        <v>0.0011143972919833293</v>
      </c>
      <c r="E228" s="110">
        <v>3.047923552317183</v>
      </c>
      <c r="F228" s="88" t="s">
        <v>2714</v>
      </c>
      <c r="G228" s="88" t="b">
        <v>0</v>
      </c>
      <c r="H228" s="88" t="b">
        <v>0</v>
      </c>
      <c r="I228" s="88" t="b">
        <v>0</v>
      </c>
      <c r="J228" s="88" t="b">
        <v>1</v>
      </c>
      <c r="K228" s="88" t="b">
        <v>0</v>
      </c>
      <c r="L228" s="88" t="b">
        <v>0</v>
      </c>
    </row>
    <row r="229" spans="1:12" ht="15">
      <c r="A229" s="83" t="s">
        <v>2511</v>
      </c>
      <c r="B229" s="88" t="s">
        <v>2596</v>
      </c>
      <c r="C229" s="88">
        <v>2</v>
      </c>
      <c r="D229" s="110">
        <v>0.0011143972919833293</v>
      </c>
      <c r="E229" s="110">
        <v>3.047923552317183</v>
      </c>
      <c r="F229" s="88" t="s">
        <v>2714</v>
      </c>
      <c r="G229" s="88" t="b">
        <v>1</v>
      </c>
      <c r="H229" s="88" t="b">
        <v>0</v>
      </c>
      <c r="I229" s="88" t="b">
        <v>0</v>
      </c>
      <c r="J229" s="88" t="b">
        <v>0</v>
      </c>
      <c r="K229" s="88" t="b">
        <v>0</v>
      </c>
      <c r="L229" s="88" t="b">
        <v>0</v>
      </c>
    </row>
    <row r="230" spans="1:12" ht="15">
      <c r="A230" s="83" t="s">
        <v>2596</v>
      </c>
      <c r="B230" s="88" t="s">
        <v>2512</v>
      </c>
      <c r="C230" s="88">
        <v>2</v>
      </c>
      <c r="D230" s="110">
        <v>0.0011143972919833293</v>
      </c>
      <c r="E230" s="110">
        <v>3.047923552317183</v>
      </c>
      <c r="F230" s="88" t="s">
        <v>2714</v>
      </c>
      <c r="G230" s="88" t="b">
        <v>0</v>
      </c>
      <c r="H230" s="88" t="b">
        <v>0</v>
      </c>
      <c r="I230" s="88" t="b">
        <v>0</v>
      </c>
      <c r="J230" s="88" t="b">
        <v>0</v>
      </c>
      <c r="K230" s="88" t="b">
        <v>0</v>
      </c>
      <c r="L230" s="88" t="b">
        <v>0</v>
      </c>
    </row>
    <row r="231" spans="1:12" ht="15">
      <c r="A231" s="83" t="s">
        <v>2512</v>
      </c>
      <c r="B231" s="88" t="s">
        <v>2597</v>
      </c>
      <c r="C231" s="88">
        <v>2</v>
      </c>
      <c r="D231" s="110">
        <v>0.0011143972919833293</v>
      </c>
      <c r="E231" s="110">
        <v>3.047923552317183</v>
      </c>
      <c r="F231" s="88" t="s">
        <v>2714</v>
      </c>
      <c r="G231" s="88" t="b">
        <v>0</v>
      </c>
      <c r="H231" s="88" t="b">
        <v>0</v>
      </c>
      <c r="I231" s="88" t="b">
        <v>0</v>
      </c>
      <c r="J231" s="88" t="b">
        <v>0</v>
      </c>
      <c r="K231" s="88" t="b">
        <v>0</v>
      </c>
      <c r="L231" s="88" t="b">
        <v>0</v>
      </c>
    </row>
    <row r="232" spans="1:12" ht="15">
      <c r="A232" s="83" t="s">
        <v>2597</v>
      </c>
      <c r="B232" s="88" t="s">
        <v>2598</v>
      </c>
      <c r="C232" s="88">
        <v>2</v>
      </c>
      <c r="D232" s="110">
        <v>0.0011143972919833293</v>
      </c>
      <c r="E232" s="110">
        <v>3.224014811372864</v>
      </c>
      <c r="F232" s="88" t="s">
        <v>2714</v>
      </c>
      <c r="G232" s="88" t="b">
        <v>0</v>
      </c>
      <c r="H232" s="88" t="b">
        <v>0</v>
      </c>
      <c r="I232" s="88" t="b">
        <v>0</v>
      </c>
      <c r="J232" s="88" t="b">
        <v>0</v>
      </c>
      <c r="K232" s="88" t="b">
        <v>0</v>
      </c>
      <c r="L232" s="88" t="b">
        <v>0</v>
      </c>
    </row>
    <row r="233" spans="1:12" ht="15">
      <c r="A233" s="83" t="s">
        <v>2598</v>
      </c>
      <c r="B233" s="88" t="s">
        <v>351</v>
      </c>
      <c r="C233" s="88">
        <v>2</v>
      </c>
      <c r="D233" s="110">
        <v>0.0011143972919833293</v>
      </c>
      <c r="E233" s="110">
        <v>3.224014811372864</v>
      </c>
      <c r="F233" s="88" t="s">
        <v>2714</v>
      </c>
      <c r="G233" s="88" t="b">
        <v>0</v>
      </c>
      <c r="H233" s="88" t="b">
        <v>0</v>
      </c>
      <c r="I233" s="88" t="b">
        <v>0</v>
      </c>
      <c r="J233" s="88" t="b">
        <v>0</v>
      </c>
      <c r="K233" s="88" t="b">
        <v>0</v>
      </c>
      <c r="L233" s="88" t="b">
        <v>0</v>
      </c>
    </row>
    <row r="234" spans="1:12" ht="15">
      <c r="A234" s="83" t="s">
        <v>2513</v>
      </c>
      <c r="B234" s="88" t="s">
        <v>349</v>
      </c>
      <c r="C234" s="88">
        <v>2</v>
      </c>
      <c r="D234" s="110">
        <v>0.0011143972919833293</v>
      </c>
      <c r="E234" s="110">
        <v>3.047923552317183</v>
      </c>
      <c r="F234" s="88" t="s">
        <v>2714</v>
      </c>
      <c r="G234" s="88" t="b">
        <v>0</v>
      </c>
      <c r="H234" s="88" t="b">
        <v>0</v>
      </c>
      <c r="I234" s="88" t="b">
        <v>0</v>
      </c>
      <c r="J234" s="88" t="b">
        <v>0</v>
      </c>
      <c r="K234" s="88" t="b">
        <v>0</v>
      </c>
      <c r="L234" s="88" t="b">
        <v>0</v>
      </c>
    </row>
    <row r="235" spans="1:12" ht="15">
      <c r="A235" s="83" t="s">
        <v>349</v>
      </c>
      <c r="B235" s="88" t="s">
        <v>2475</v>
      </c>
      <c r="C235" s="88">
        <v>2</v>
      </c>
      <c r="D235" s="110">
        <v>0.0011143972919833293</v>
      </c>
      <c r="E235" s="110">
        <v>2.9229848157088827</v>
      </c>
      <c r="F235" s="88" t="s">
        <v>2714</v>
      </c>
      <c r="G235" s="88" t="b">
        <v>0</v>
      </c>
      <c r="H235" s="88" t="b">
        <v>0</v>
      </c>
      <c r="I235" s="88" t="b">
        <v>0</v>
      </c>
      <c r="J235" s="88" t="b">
        <v>0</v>
      </c>
      <c r="K235" s="88" t="b">
        <v>0</v>
      </c>
      <c r="L235" s="88" t="b">
        <v>0</v>
      </c>
    </row>
    <row r="236" spans="1:12" ht="15">
      <c r="A236" s="83" t="s">
        <v>2475</v>
      </c>
      <c r="B236" s="88" t="s">
        <v>2599</v>
      </c>
      <c r="C236" s="88">
        <v>2</v>
      </c>
      <c r="D236" s="110">
        <v>0.0011143972919833293</v>
      </c>
      <c r="E236" s="110">
        <v>2.9229848157088827</v>
      </c>
      <c r="F236" s="88" t="s">
        <v>2714</v>
      </c>
      <c r="G236" s="88" t="b">
        <v>0</v>
      </c>
      <c r="H236" s="88" t="b">
        <v>0</v>
      </c>
      <c r="I236" s="88" t="b">
        <v>0</v>
      </c>
      <c r="J236" s="88" t="b">
        <v>1</v>
      </c>
      <c r="K236" s="88" t="b">
        <v>0</v>
      </c>
      <c r="L236" s="88" t="b">
        <v>0</v>
      </c>
    </row>
    <row r="237" spans="1:12" ht="15">
      <c r="A237" s="83" t="s">
        <v>2599</v>
      </c>
      <c r="B237" s="88" t="s">
        <v>2438</v>
      </c>
      <c r="C237" s="88">
        <v>2</v>
      </c>
      <c r="D237" s="110">
        <v>0.0011143972919833293</v>
      </c>
      <c r="E237" s="110">
        <v>2.6219548200449014</v>
      </c>
      <c r="F237" s="88" t="s">
        <v>2714</v>
      </c>
      <c r="G237" s="88" t="b">
        <v>1</v>
      </c>
      <c r="H237" s="88" t="b">
        <v>0</v>
      </c>
      <c r="I237" s="88" t="b">
        <v>0</v>
      </c>
      <c r="J237" s="88" t="b">
        <v>0</v>
      </c>
      <c r="K237" s="88" t="b">
        <v>0</v>
      </c>
      <c r="L237" s="88" t="b">
        <v>0</v>
      </c>
    </row>
    <row r="238" spans="1:12" ht="15">
      <c r="A238" s="83" t="s">
        <v>2600</v>
      </c>
      <c r="B238" s="88" t="s">
        <v>2021</v>
      </c>
      <c r="C238" s="88">
        <v>2</v>
      </c>
      <c r="D238" s="110">
        <v>0.0011143972919833293</v>
      </c>
      <c r="E238" s="110">
        <v>2.8260748027008264</v>
      </c>
      <c r="F238" s="88" t="s">
        <v>2714</v>
      </c>
      <c r="G238" s="88" t="b">
        <v>0</v>
      </c>
      <c r="H238" s="88" t="b">
        <v>0</v>
      </c>
      <c r="I238" s="88" t="b">
        <v>0</v>
      </c>
      <c r="J238" s="88" t="b">
        <v>0</v>
      </c>
      <c r="K238" s="88" t="b">
        <v>0</v>
      </c>
      <c r="L238" s="88" t="b">
        <v>0</v>
      </c>
    </row>
    <row r="239" spans="1:12" ht="15">
      <c r="A239" s="83" t="s">
        <v>2021</v>
      </c>
      <c r="B239" s="88" t="s">
        <v>342</v>
      </c>
      <c r="C239" s="88">
        <v>2</v>
      </c>
      <c r="D239" s="110">
        <v>0.0011143972919833293</v>
      </c>
      <c r="E239" s="110">
        <v>2.8260748027008264</v>
      </c>
      <c r="F239" s="88" t="s">
        <v>2714</v>
      </c>
      <c r="G239" s="88" t="b">
        <v>0</v>
      </c>
      <c r="H239" s="88" t="b">
        <v>0</v>
      </c>
      <c r="I239" s="88" t="b">
        <v>0</v>
      </c>
      <c r="J239" s="88" t="b">
        <v>0</v>
      </c>
      <c r="K239" s="88" t="b">
        <v>0</v>
      </c>
      <c r="L239" s="88" t="b">
        <v>0</v>
      </c>
    </row>
    <row r="240" spans="1:12" ht="15">
      <c r="A240" s="83" t="s">
        <v>342</v>
      </c>
      <c r="B240" s="88" t="s">
        <v>2601</v>
      </c>
      <c r="C240" s="88">
        <v>2</v>
      </c>
      <c r="D240" s="110">
        <v>0.0011143972919833293</v>
      </c>
      <c r="E240" s="110">
        <v>3.224014811372864</v>
      </c>
      <c r="F240" s="88" t="s">
        <v>2714</v>
      </c>
      <c r="G240" s="88" t="b">
        <v>0</v>
      </c>
      <c r="H240" s="88" t="b">
        <v>0</v>
      </c>
      <c r="I240" s="88" t="b">
        <v>0</v>
      </c>
      <c r="J240" s="88" t="b">
        <v>0</v>
      </c>
      <c r="K240" s="88" t="b">
        <v>0</v>
      </c>
      <c r="L240" s="88" t="b">
        <v>0</v>
      </c>
    </row>
    <row r="241" spans="1:12" ht="15">
      <c r="A241" s="83" t="s">
        <v>2601</v>
      </c>
      <c r="B241" s="88" t="s">
        <v>1968</v>
      </c>
      <c r="C241" s="88">
        <v>2</v>
      </c>
      <c r="D241" s="110">
        <v>0.0011143972919833293</v>
      </c>
      <c r="E241" s="110">
        <v>1.6165597881581955</v>
      </c>
      <c r="F241" s="88" t="s">
        <v>2714</v>
      </c>
      <c r="G241" s="88" t="b">
        <v>0</v>
      </c>
      <c r="H241" s="88" t="b">
        <v>0</v>
      </c>
      <c r="I241" s="88" t="b">
        <v>0</v>
      </c>
      <c r="J241" s="88" t="b">
        <v>0</v>
      </c>
      <c r="K241" s="88" t="b">
        <v>0</v>
      </c>
      <c r="L241" s="88" t="b">
        <v>0</v>
      </c>
    </row>
    <row r="242" spans="1:12" ht="15">
      <c r="A242" s="83" t="s">
        <v>1969</v>
      </c>
      <c r="B242" s="88" t="s">
        <v>2475</v>
      </c>
      <c r="C242" s="88">
        <v>2</v>
      </c>
      <c r="D242" s="110">
        <v>0.0011143972919833293</v>
      </c>
      <c r="E242" s="110">
        <v>1.3209248243809204</v>
      </c>
      <c r="F242" s="88" t="s">
        <v>2714</v>
      </c>
      <c r="G242" s="88" t="b">
        <v>0</v>
      </c>
      <c r="H242" s="88" t="b">
        <v>0</v>
      </c>
      <c r="I242" s="88" t="b">
        <v>0</v>
      </c>
      <c r="J242" s="88" t="b">
        <v>0</v>
      </c>
      <c r="K242" s="88" t="b">
        <v>0</v>
      </c>
      <c r="L242" s="88" t="b">
        <v>0</v>
      </c>
    </row>
    <row r="243" spans="1:12" ht="15">
      <c r="A243" s="83" t="s">
        <v>2475</v>
      </c>
      <c r="B243" s="88" t="s">
        <v>1964</v>
      </c>
      <c r="C243" s="88">
        <v>2</v>
      </c>
      <c r="D243" s="110">
        <v>0.0011143972919833293</v>
      </c>
      <c r="E243" s="110">
        <v>1.0144997968302332</v>
      </c>
      <c r="F243" s="88" t="s">
        <v>2714</v>
      </c>
      <c r="G243" s="88" t="b">
        <v>0</v>
      </c>
      <c r="H243" s="88" t="b">
        <v>0</v>
      </c>
      <c r="I243" s="88" t="b">
        <v>0</v>
      </c>
      <c r="J243" s="88" t="b">
        <v>0</v>
      </c>
      <c r="K243" s="88" t="b">
        <v>0</v>
      </c>
      <c r="L243" s="88" t="b">
        <v>0</v>
      </c>
    </row>
    <row r="244" spans="1:12" ht="15">
      <c r="A244" s="83" t="s">
        <v>1944</v>
      </c>
      <c r="B244" s="88" t="s">
        <v>2602</v>
      </c>
      <c r="C244" s="88">
        <v>2</v>
      </c>
      <c r="D244" s="110">
        <v>0.0011143972919833293</v>
      </c>
      <c r="E244" s="110">
        <v>1.2417435783332957</v>
      </c>
      <c r="F244" s="88" t="s">
        <v>2714</v>
      </c>
      <c r="G244" s="88" t="b">
        <v>0</v>
      </c>
      <c r="H244" s="88" t="b">
        <v>0</v>
      </c>
      <c r="I244" s="88" t="b">
        <v>0</v>
      </c>
      <c r="J244" s="88" t="b">
        <v>0</v>
      </c>
      <c r="K244" s="88" t="b">
        <v>0</v>
      </c>
      <c r="L244" s="88" t="b">
        <v>0</v>
      </c>
    </row>
    <row r="245" spans="1:12" ht="15">
      <c r="A245" s="83" t="s">
        <v>2602</v>
      </c>
      <c r="B245" s="88" t="s">
        <v>401</v>
      </c>
      <c r="C245" s="88">
        <v>2</v>
      </c>
      <c r="D245" s="110">
        <v>0.0011143972919833293</v>
      </c>
      <c r="E245" s="110">
        <v>3.224014811372864</v>
      </c>
      <c r="F245" s="88" t="s">
        <v>2714</v>
      </c>
      <c r="G245" s="88" t="b">
        <v>0</v>
      </c>
      <c r="H245" s="88" t="b">
        <v>0</v>
      </c>
      <c r="I245" s="88" t="b">
        <v>0</v>
      </c>
      <c r="J245" s="88" t="b">
        <v>0</v>
      </c>
      <c r="K245" s="88" t="b">
        <v>0</v>
      </c>
      <c r="L245" s="88" t="b">
        <v>0</v>
      </c>
    </row>
    <row r="246" spans="1:12" ht="15">
      <c r="A246" s="83" t="s">
        <v>401</v>
      </c>
      <c r="B246" s="88" t="s">
        <v>2474</v>
      </c>
      <c r="C246" s="88">
        <v>2</v>
      </c>
      <c r="D246" s="110">
        <v>0.0011143972919833293</v>
      </c>
      <c r="E246" s="110">
        <v>2.9229848157088827</v>
      </c>
      <c r="F246" s="88" t="s">
        <v>2714</v>
      </c>
      <c r="G246" s="88" t="b">
        <v>0</v>
      </c>
      <c r="H246" s="88" t="b">
        <v>0</v>
      </c>
      <c r="I246" s="88" t="b">
        <v>0</v>
      </c>
      <c r="J246" s="88" t="b">
        <v>0</v>
      </c>
      <c r="K246" s="88" t="b">
        <v>0</v>
      </c>
      <c r="L246" s="88" t="b">
        <v>0</v>
      </c>
    </row>
    <row r="247" spans="1:12" ht="15">
      <c r="A247" s="83" t="s">
        <v>2474</v>
      </c>
      <c r="B247" s="88" t="s">
        <v>2603</v>
      </c>
      <c r="C247" s="88">
        <v>2</v>
      </c>
      <c r="D247" s="110">
        <v>0.0011143972919833293</v>
      </c>
      <c r="E247" s="110">
        <v>2.9229848157088827</v>
      </c>
      <c r="F247" s="88" t="s">
        <v>2714</v>
      </c>
      <c r="G247" s="88" t="b">
        <v>0</v>
      </c>
      <c r="H247" s="88" t="b">
        <v>0</v>
      </c>
      <c r="I247" s="88" t="b">
        <v>0</v>
      </c>
      <c r="J247" s="88" t="b">
        <v>0</v>
      </c>
      <c r="K247" s="88" t="b">
        <v>0</v>
      </c>
      <c r="L247" s="88" t="b">
        <v>0</v>
      </c>
    </row>
    <row r="248" spans="1:12" ht="15">
      <c r="A248" s="83" t="s">
        <v>2603</v>
      </c>
      <c r="B248" s="88" t="s">
        <v>2604</v>
      </c>
      <c r="C248" s="88">
        <v>2</v>
      </c>
      <c r="D248" s="110">
        <v>0.0011143972919833293</v>
      </c>
      <c r="E248" s="110">
        <v>3.224014811372864</v>
      </c>
      <c r="F248" s="88" t="s">
        <v>2714</v>
      </c>
      <c r="G248" s="88" t="b">
        <v>0</v>
      </c>
      <c r="H248" s="88" t="b">
        <v>0</v>
      </c>
      <c r="I248" s="88" t="b">
        <v>0</v>
      </c>
      <c r="J248" s="88" t="b">
        <v>0</v>
      </c>
      <c r="K248" s="88" t="b">
        <v>0</v>
      </c>
      <c r="L248" s="88" t="b">
        <v>0</v>
      </c>
    </row>
    <row r="249" spans="1:12" ht="15">
      <c r="A249" s="83" t="s">
        <v>2604</v>
      </c>
      <c r="B249" s="88" t="s">
        <v>2605</v>
      </c>
      <c r="C249" s="88">
        <v>2</v>
      </c>
      <c r="D249" s="110">
        <v>0.0011143972919833293</v>
      </c>
      <c r="E249" s="110">
        <v>3.224014811372864</v>
      </c>
      <c r="F249" s="88" t="s">
        <v>2714</v>
      </c>
      <c r="G249" s="88" t="b">
        <v>0</v>
      </c>
      <c r="H249" s="88" t="b">
        <v>0</v>
      </c>
      <c r="I249" s="88" t="b">
        <v>0</v>
      </c>
      <c r="J249" s="88" t="b">
        <v>0</v>
      </c>
      <c r="K249" s="88" t="b">
        <v>0</v>
      </c>
      <c r="L249" s="88" t="b">
        <v>0</v>
      </c>
    </row>
    <row r="250" spans="1:12" ht="15">
      <c r="A250" s="83" t="s">
        <v>2605</v>
      </c>
      <c r="B250" s="88" t="s">
        <v>2476</v>
      </c>
      <c r="C250" s="88">
        <v>2</v>
      </c>
      <c r="D250" s="110">
        <v>0.0011143972919833293</v>
      </c>
      <c r="E250" s="110">
        <v>2.9229848157088827</v>
      </c>
      <c r="F250" s="88" t="s">
        <v>2714</v>
      </c>
      <c r="G250" s="88" t="b">
        <v>0</v>
      </c>
      <c r="H250" s="88" t="b">
        <v>0</v>
      </c>
      <c r="I250" s="88" t="b">
        <v>0</v>
      </c>
      <c r="J250" s="88" t="b">
        <v>0</v>
      </c>
      <c r="K250" s="88" t="b">
        <v>0</v>
      </c>
      <c r="L250" s="88" t="b">
        <v>0</v>
      </c>
    </row>
    <row r="251" spans="1:12" ht="15">
      <c r="A251" s="83" t="s">
        <v>2029</v>
      </c>
      <c r="B251" s="88" t="s">
        <v>2617</v>
      </c>
      <c r="C251" s="88">
        <v>2</v>
      </c>
      <c r="D251" s="110">
        <v>0.0011143972919833293</v>
      </c>
      <c r="E251" s="110">
        <v>2.6219548200449014</v>
      </c>
      <c r="F251" s="88" t="s">
        <v>2714</v>
      </c>
      <c r="G251" s="88" t="b">
        <v>0</v>
      </c>
      <c r="H251" s="88" t="b">
        <v>0</v>
      </c>
      <c r="I251" s="88" t="b">
        <v>0</v>
      </c>
      <c r="J251" s="88" t="b">
        <v>0</v>
      </c>
      <c r="K251" s="88" t="b">
        <v>0</v>
      </c>
      <c r="L251" s="88" t="b">
        <v>0</v>
      </c>
    </row>
    <row r="252" spans="1:12" ht="15">
      <c r="A252" s="83" t="s">
        <v>2617</v>
      </c>
      <c r="B252" s="88" t="s">
        <v>2006</v>
      </c>
      <c r="C252" s="88">
        <v>2</v>
      </c>
      <c r="D252" s="110">
        <v>0.0011143972919833293</v>
      </c>
      <c r="E252" s="110">
        <v>2.9229848157088827</v>
      </c>
      <c r="F252" s="88" t="s">
        <v>2714</v>
      </c>
      <c r="G252" s="88" t="b">
        <v>0</v>
      </c>
      <c r="H252" s="88" t="b">
        <v>0</v>
      </c>
      <c r="I252" s="88" t="b">
        <v>0</v>
      </c>
      <c r="J252" s="88" t="b">
        <v>0</v>
      </c>
      <c r="K252" s="88" t="b">
        <v>0</v>
      </c>
      <c r="L252" s="88" t="b">
        <v>0</v>
      </c>
    </row>
    <row r="253" spans="1:12" ht="15">
      <c r="A253" s="83" t="s">
        <v>2006</v>
      </c>
      <c r="B253" s="88" t="s">
        <v>390</v>
      </c>
      <c r="C253" s="88">
        <v>2</v>
      </c>
      <c r="D253" s="110">
        <v>0.0011143972919833293</v>
      </c>
      <c r="E253" s="110">
        <v>2.224014811372864</v>
      </c>
      <c r="F253" s="88" t="s">
        <v>2714</v>
      </c>
      <c r="G253" s="88" t="b">
        <v>0</v>
      </c>
      <c r="H253" s="88" t="b">
        <v>0</v>
      </c>
      <c r="I253" s="88" t="b">
        <v>0</v>
      </c>
      <c r="J253" s="88" t="b">
        <v>0</v>
      </c>
      <c r="K253" s="88" t="b">
        <v>0</v>
      </c>
      <c r="L253" s="88" t="b">
        <v>0</v>
      </c>
    </row>
    <row r="254" spans="1:12" ht="15">
      <c r="A254" s="83" t="s">
        <v>390</v>
      </c>
      <c r="B254" s="88" t="s">
        <v>2433</v>
      </c>
      <c r="C254" s="88">
        <v>2</v>
      </c>
      <c r="D254" s="110">
        <v>0.0011143972919833293</v>
      </c>
      <c r="E254" s="110">
        <v>1.8260748027008264</v>
      </c>
      <c r="F254" s="88" t="s">
        <v>2714</v>
      </c>
      <c r="G254" s="88" t="b">
        <v>0</v>
      </c>
      <c r="H254" s="88" t="b">
        <v>0</v>
      </c>
      <c r="I254" s="88" t="b">
        <v>0</v>
      </c>
      <c r="J254" s="88" t="b">
        <v>0</v>
      </c>
      <c r="K254" s="88" t="b">
        <v>0</v>
      </c>
      <c r="L254" s="88" t="b">
        <v>0</v>
      </c>
    </row>
    <row r="255" spans="1:12" ht="15">
      <c r="A255" s="83" t="s">
        <v>2433</v>
      </c>
      <c r="B255" s="88" t="s">
        <v>1964</v>
      </c>
      <c r="C255" s="88">
        <v>2</v>
      </c>
      <c r="D255" s="110">
        <v>0.0011143972919833293</v>
      </c>
      <c r="E255" s="110">
        <v>0.5373785421105707</v>
      </c>
      <c r="F255" s="88" t="s">
        <v>2714</v>
      </c>
      <c r="G255" s="88" t="b">
        <v>0</v>
      </c>
      <c r="H255" s="88" t="b">
        <v>0</v>
      </c>
      <c r="I255" s="88" t="b">
        <v>0</v>
      </c>
      <c r="J255" s="88" t="b">
        <v>0</v>
      </c>
      <c r="K255" s="88" t="b">
        <v>0</v>
      </c>
      <c r="L255" s="88" t="b">
        <v>0</v>
      </c>
    </row>
    <row r="256" spans="1:12" ht="15">
      <c r="A256" s="83" t="s">
        <v>1978</v>
      </c>
      <c r="B256" s="88" t="s">
        <v>1968</v>
      </c>
      <c r="C256" s="88">
        <v>2</v>
      </c>
      <c r="D256" s="110">
        <v>0.0011143972919833293</v>
      </c>
      <c r="E256" s="110">
        <v>0.6388361828693477</v>
      </c>
      <c r="F256" s="88" t="s">
        <v>2714</v>
      </c>
      <c r="G256" s="88" t="b">
        <v>0</v>
      </c>
      <c r="H256" s="88" t="b">
        <v>0</v>
      </c>
      <c r="I256" s="88" t="b">
        <v>0</v>
      </c>
      <c r="J256" s="88" t="b">
        <v>0</v>
      </c>
      <c r="K256" s="88" t="b">
        <v>0</v>
      </c>
      <c r="L256" s="88" t="b">
        <v>0</v>
      </c>
    </row>
    <row r="257" spans="1:12" ht="15">
      <c r="A257" s="83" t="s">
        <v>1968</v>
      </c>
      <c r="B257" s="88" t="s">
        <v>394</v>
      </c>
      <c r="C257" s="88">
        <v>2</v>
      </c>
      <c r="D257" s="110">
        <v>0.0011143972919833293</v>
      </c>
      <c r="E257" s="110">
        <v>1.6219548200449017</v>
      </c>
      <c r="F257" s="88" t="s">
        <v>2714</v>
      </c>
      <c r="G257" s="88" t="b">
        <v>0</v>
      </c>
      <c r="H257" s="88" t="b">
        <v>0</v>
      </c>
      <c r="I257" s="88" t="b">
        <v>0</v>
      </c>
      <c r="J257" s="88" t="b">
        <v>0</v>
      </c>
      <c r="K257" s="88" t="b">
        <v>0</v>
      </c>
      <c r="L257" s="88" t="b">
        <v>0</v>
      </c>
    </row>
    <row r="258" spans="1:12" ht="15">
      <c r="A258" s="83" t="s">
        <v>394</v>
      </c>
      <c r="B258" s="88" t="s">
        <v>362</v>
      </c>
      <c r="C258" s="88">
        <v>2</v>
      </c>
      <c r="D258" s="110">
        <v>0.0011143972919833293</v>
      </c>
      <c r="E258" s="110">
        <v>2.9229848157088827</v>
      </c>
      <c r="F258" s="88" t="s">
        <v>2714</v>
      </c>
      <c r="G258" s="88" t="b">
        <v>0</v>
      </c>
      <c r="H258" s="88" t="b">
        <v>0</v>
      </c>
      <c r="I258" s="88" t="b">
        <v>0</v>
      </c>
      <c r="J258" s="88" t="b">
        <v>0</v>
      </c>
      <c r="K258" s="88" t="b">
        <v>0</v>
      </c>
      <c r="L258" s="88" t="b">
        <v>0</v>
      </c>
    </row>
    <row r="259" spans="1:12" ht="15">
      <c r="A259" s="83" t="s">
        <v>1980</v>
      </c>
      <c r="B259" s="88" t="s">
        <v>2618</v>
      </c>
      <c r="C259" s="88">
        <v>2</v>
      </c>
      <c r="D259" s="110">
        <v>0.0011143972919833293</v>
      </c>
      <c r="E259" s="110">
        <v>2.6219548200449014</v>
      </c>
      <c r="F259" s="88" t="s">
        <v>2714</v>
      </c>
      <c r="G259" s="88" t="b">
        <v>0</v>
      </c>
      <c r="H259" s="88" t="b">
        <v>0</v>
      </c>
      <c r="I259" s="88" t="b">
        <v>0</v>
      </c>
      <c r="J259" s="88" t="b">
        <v>0</v>
      </c>
      <c r="K259" s="88" t="b">
        <v>0</v>
      </c>
      <c r="L259" s="88" t="b">
        <v>0</v>
      </c>
    </row>
    <row r="260" spans="1:12" ht="15">
      <c r="A260" s="83" t="s">
        <v>1944</v>
      </c>
      <c r="B260" s="88" t="s">
        <v>1969</v>
      </c>
      <c r="C260" s="88">
        <v>2</v>
      </c>
      <c r="D260" s="110">
        <v>0.0011143972919833293</v>
      </c>
      <c r="E260" s="110">
        <v>-0.3603164129946668</v>
      </c>
      <c r="F260" s="88" t="s">
        <v>2714</v>
      </c>
      <c r="G260" s="88" t="b">
        <v>0</v>
      </c>
      <c r="H260" s="88" t="b">
        <v>0</v>
      </c>
      <c r="I260" s="88" t="b">
        <v>0</v>
      </c>
      <c r="J260" s="88" t="b">
        <v>0</v>
      </c>
      <c r="K260" s="88" t="b">
        <v>0</v>
      </c>
      <c r="L260" s="88" t="b">
        <v>0</v>
      </c>
    </row>
    <row r="261" spans="1:12" ht="15">
      <c r="A261" s="83" t="s">
        <v>1980</v>
      </c>
      <c r="B261" s="88" t="s">
        <v>362</v>
      </c>
      <c r="C261" s="88">
        <v>2</v>
      </c>
      <c r="D261" s="110">
        <v>0.0011143972919833293</v>
      </c>
      <c r="E261" s="110">
        <v>2.3209248243809206</v>
      </c>
      <c r="F261" s="88" t="s">
        <v>2714</v>
      </c>
      <c r="G261" s="88" t="b">
        <v>0</v>
      </c>
      <c r="H261" s="88" t="b">
        <v>0</v>
      </c>
      <c r="I261" s="88" t="b">
        <v>0</v>
      </c>
      <c r="J261" s="88" t="b">
        <v>0</v>
      </c>
      <c r="K261" s="88" t="b">
        <v>0</v>
      </c>
      <c r="L261" s="88" t="b">
        <v>0</v>
      </c>
    </row>
    <row r="262" spans="1:12" ht="15">
      <c r="A262" s="83" t="s">
        <v>2504</v>
      </c>
      <c r="B262" s="88" t="s">
        <v>2620</v>
      </c>
      <c r="C262" s="88">
        <v>2</v>
      </c>
      <c r="D262" s="110">
        <v>0.0011143972919833293</v>
      </c>
      <c r="E262" s="110">
        <v>3.047923552317183</v>
      </c>
      <c r="F262" s="88" t="s">
        <v>2714</v>
      </c>
      <c r="G262" s="88" t="b">
        <v>0</v>
      </c>
      <c r="H262" s="88" t="b">
        <v>0</v>
      </c>
      <c r="I262" s="88" t="b">
        <v>0</v>
      </c>
      <c r="J262" s="88" t="b">
        <v>1</v>
      </c>
      <c r="K262" s="88" t="b">
        <v>0</v>
      </c>
      <c r="L262" s="88" t="b">
        <v>0</v>
      </c>
    </row>
    <row r="263" spans="1:12" ht="15">
      <c r="A263" s="83" t="s">
        <v>2620</v>
      </c>
      <c r="B263" s="88" t="s">
        <v>2621</v>
      </c>
      <c r="C263" s="88">
        <v>2</v>
      </c>
      <c r="D263" s="110">
        <v>0.0011143972919833293</v>
      </c>
      <c r="E263" s="110">
        <v>3.224014811372864</v>
      </c>
      <c r="F263" s="88" t="s">
        <v>2714</v>
      </c>
      <c r="G263" s="88" t="b">
        <v>1</v>
      </c>
      <c r="H263" s="88" t="b">
        <v>0</v>
      </c>
      <c r="I263" s="88" t="b">
        <v>0</v>
      </c>
      <c r="J263" s="88" t="b">
        <v>0</v>
      </c>
      <c r="K263" s="88" t="b">
        <v>0</v>
      </c>
      <c r="L263" s="88" t="b">
        <v>0</v>
      </c>
    </row>
    <row r="264" spans="1:12" ht="15">
      <c r="A264" s="83" t="s">
        <v>2621</v>
      </c>
      <c r="B264" s="88" t="s">
        <v>2622</v>
      </c>
      <c r="C264" s="88">
        <v>2</v>
      </c>
      <c r="D264" s="110">
        <v>0.0011143972919833293</v>
      </c>
      <c r="E264" s="110">
        <v>3.224014811372864</v>
      </c>
      <c r="F264" s="88" t="s">
        <v>2714</v>
      </c>
      <c r="G264" s="88" t="b">
        <v>0</v>
      </c>
      <c r="H264" s="88" t="b">
        <v>0</v>
      </c>
      <c r="I264" s="88" t="b">
        <v>0</v>
      </c>
      <c r="J264" s="88" t="b">
        <v>0</v>
      </c>
      <c r="K264" s="88" t="b">
        <v>0</v>
      </c>
      <c r="L264" s="88" t="b">
        <v>0</v>
      </c>
    </row>
    <row r="265" spans="1:12" ht="15">
      <c r="A265" s="83" t="s">
        <v>2622</v>
      </c>
      <c r="B265" s="88" t="s">
        <v>2623</v>
      </c>
      <c r="C265" s="88">
        <v>2</v>
      </c>
      <c r="D265" s="110">
        <v>0.0011143972919833293</v>
      </c>
      <c r="E265" s="110">
        <v>3.224014811372864</v>
      </c>
      <c r="F265" s="88" t="s">
        <v>2714</v>
      </c>
      <c r="G265" s="88" t="b">
        <v>0</v>
      </c>
      <c r="H265" s="88" t="b">
        <v>0</v>
      </c>
      <c r="I265" s="88" t="b">
        <v>0</v>
      </c>
      <c r="J265" s="88" t="b">
        <v>0</v>
      </c>
      <c r="K265" s="88" t="b">
        <v>0</v>
      </c>
      <c r="L265" s="88" t="b">
        <v>0</v>
      </c>
    </row>
    <row r="266" spans="1:12" ht="15">
      <c r="A266" s="83" t="s">
        <v>2623</v>
      </c>
      <c r="B266" s="88" t="s">
        <v>2470</v>
      </c>
      <c r="C266" s="88">
        <v>2</v>
      </c>
      <c r="D266" s="110">
        <v>0.0011143972919833293</v>
      </c>
      <c r="E266" s="110">
        <v>2.8260748027008264</v>
      </c>
      <c r="F266" s="88" t="s">
        <v>2714</v>
      </c>
      <c r="G266" s="88" t="b">
        <v>0</v>
      </c>
      <c r="H266" s="88" t="b">
        <v>0</v>
      </c>
      <c r="I266" s="88" t="b">
        <v>0</v>
      </c>
      <c r="J266" s="88" t="b">
        <v>0</v>
      </c>
      <c r="K266" s="88" t="b">
        <v>0</v>
      </c>
      <c r="L266" s="88" t="b">
        <v>0</v>
      </c>
    </row>
    <row r="267" spans="1:12" ht="15">
      <c r="A267" s="83" t="s">
        <v>2470</v>
      </c>
      <c r="B267" s="88" t="s">
        <v>2624</v>
      </c>
      <c r="C267" s="88">
        <v>2</v>
      </c>
      <c r="D267" s="110">
        <v>0.0011143972919833293</v>
      </c>
      <c r="E267" s="110">
        <v>2.8260748027008264</v>
      </c>
      <c r="F267" s="88" t="s">
        <v>2714</v>
      </c>
      <c r="G267" s="88" t="b">
        <v>0</v>
      </c>
      <c r="H267" s="88" t="b">
        <v>0</v>
      </c>
      <c r="I267" s="88" t="b">
        <v>0</v>
      </c>
      <c r="J267" s="88" t="b">
        <v>0</v>
      </c>
      <c r="K267" s="88" t="b">
        <v>0</v>
      </c>
      <c r="L267" s="88" t="b">
        <v>0</v>
      </c>
    </row>
    <row r="268" spans="1:12" ht="15">
      <c r="A268" s="83" t="s">
        <v>2624</v>
      </c>
      <c r="B268" s="88" t="s">
        <v>1966</v>
      </c>
      <c r="C268" s="88">
        <v>2</v>
      </c>
      <c r="D268" s="110">
        <v>0.0011143972919833293</v>
      </c>
      <c r="E268" s="110">
        <v>1.407773511381081</v>
      </c>
      <c r="F268" s="88" t="s">
        <v>2714</v>
      </c>
      <c r="G268" s="88" t="b">
        <v>0</v>
      </c>
      <c r="H268" s="88" t="b">
        <v>0</v>
      </c>
      <c r="I268" s="88" t="b">
        <v>0</v>
      </c>
      <c r="J268" s="88" t="b">
        <v>0</v>
      </c>
      <c r="K268" s="88" t="b">
        <v>0</v>
      </c>
      <c r="L268" s="88" t="b">
        <v>0</v>
      </c>
    </row>
    <row r="269" spans="1:12" ht="15">
      <c r="A269" s="83" t="s">
        <v>1966</v>
      </c>
      <c r="B269" s="88" t="s">
        <v>2625</v>
      </c>
      <c r="C269" s="88">
        <v>2</v>
      </c>
      <c r="D269" s="110">
        <v>0.0011143972919833293</v>
      </c>
      <c r="E269" s="110">
        <v>1.6442312147560538</v>
      </c>
      <c r="F269" s="88" t="s">
        <v>2714</v>
      </c>
      <c r="G269" s="88" t="b">
        <v>0</v>
      </c>
      <c r="H269" s="88" t="b">
        <v>0</v>
      </c>
      <c r="I269" s="88" t="b">
        <v>0</v>
      </c>
      <c r="J269" s="88" t="b">
        <v>0</v>
      </c>
      <c r="K269" s="88" t="b">
        <v>0</v>
      </c>
      <c r="L269" s="88" t="b">
        <v>0</v>
      </c>
    </row>
    <row r="270" spans="1:12" ht="15">
      <c r="A270" s="83" t="s">
        <v>2625</v>
      </c>
      <c r="B270" s="88" t="s">
        <v>2626</v>
      </c>
      <c r="C270" s="88">
        <v>2</v>
      </c>
      <c r="D270" s="110">
        <v>0.0011143972919833293</v>
      </c>
      <c r="E270" s="110">
        <v>3.224014811372864</v>
      </c>
      <c r="F270" s="88" t="s">
        <v>2714</v>
      </c>
      <c r="G270" s="88" t="b">
        <v>0</v>
      </c>
      <c r="H270" s="88" t="b">
        <v>0</v>
      </c>
      <c r="I270" s="88" t="b">
        <v>0</v>
      </c>
      <c r="J270" s="88" t="b">
        <v>0</v>
      </c>
      <c r="K270" s="88" t="b">
        <v>0</v>
      </c>
      <c r="L270" s="88" t="b">
        <v>0</v>
      </c>
    </row>
    <row r="271" spans="1:12" ht="15">
      <c r="A271" s="83" t="s">
        <v>2626</v>
      </c>
      <c r="B271" s="88" t="s">
        <v>2627</v>
      </c>
      <c r="C271" s="88">
        <v>2</v>
      </c>
      <c r="D271" s="110">
        <v>0.0011143972919833293</v>
      </c>
      <c r="E271" s="110">
        <v>3.224014811372864</v>
      </c>
      <c r="F271" s="88" t="s">
        <v>2714</v>
      </c>
      <c r="G271" s="88" t="b">
        <v>0</v>
      </c>
      <c r="H271" s="88" t="b">
        <v>0</v>
      </c>
      <c r="I271" s="88" t="b">
        <v>0</v>
      </c>
      <c r="J271" s="88" t="b">
        <v>0</v>
      </c>
      <c r="K271" s="88" t="b">
        <v>0</v>
      </c>
      <c r="L271" s="88" t="b">
        <v>0</v>
      </c>
    </row>
    <row r="272" spans="1:12" ht="15">
      <c r="A272" s="83" t="s">
        <v>2627</v>
      </c>
      <c r="B272" s="88" t="s">
        <v>2434</v>
      </c>
      <c r="C272" s="88">
        <v>2</v>
      </c>
      <c r="D272" s="110">
        <v>0.0011143972919833293</v>
      </c>
      <c r="E272" s="110">
        <v>2.4458635609892205</v>
      </c>
      <c r="F272" s="88" t="s">
        <v>2714</v>
      </c>
      <c r="G272" s="88" t="b">
        <v>0</v>
      </c>
      <c r="H272" s="88" t="b">
        <v>0</v>
      </c>
      <c r="I272" s="88" t="b">
        <v>0</v>
      </c>
      <c r="J272" s="88" t="b">
        <v>0</v>
      </c>
      <c r="K272" s="88" t="b">
        <v>0</v>
      </c>
      <c r="L272" s="88" t="b">
        <v>0</v>
      </c>
    </row>
    <row r="273" spans="1:12" ht="15">
      <c r="A273" s="83" t="s">
        <v>2434</v>
      </c>
      <c r="B273" s="88" t="s">
        <v>2503</v>
      </c>
      <c r="C273" s="88">
        <v>2</v>
      </c>
      <c r="D273" s="110">
        <v>0.0011143972919833293</v>
      </c>
      <c r="E273" s="110">
        <v>2.269772301933539</v>
      </c>
      <c r="F273" s="88" t="s">
        <v>2714</v>
      </c>
      <c r="G273" s="88" t="b">
        <v>0</v>
      </c>
      <c r="H273" s="88" t="b">
        <v>0</v>
      </c>
      <c r="I273" s="88" t="b">
        <v>0</v>
      </c>
      <c r="J273" s="88" t="b">
        <v>0</v>
      </c>
      <c r="K273" s="88" t="b">
        <v>0</v>
      </c>
      <c r="L273" s="88" t="b">
        <v>0</v>
      </c>
    </row>
    <row r="274" spans="1:12" ht="15">
      <c r="A274" s="83" t="s">
        <v>2503</v>
      </c>
      <c r="B274" s="88" t="s">
        <v>2628</v>
      </c>
      <c r="C274" s="88">
        <v>2</v>
      </c>
      <c r="D274" s="110">
        <v>0.0011143972919833293</v>
      </c>
      <c r="E274" s="110">
        <v>3.047923552317183</v>
      </c>
      <c r="F274" s="88" t="s">
        <v>2714</v>
      </c>
      <c r="G274" s="88" t="b">
        <v>0</v>
      </c>
      <c r="H274" s="88" t="b">
        <v>0</v>
      </c>
      <c r="I274" s="88" t="b">
        <v>0</v>
      </c>
      <c r="J274" s="88" t="b">
        <v>0</v>
      </c>
      <c r="K274" s="88" t="b">
        <v>0</v>
      </c>
      <c r="L274" s="88" t="b">
        <v>0</v>
      </c>
    </row>
    <row r="275" spans="1:12" ht="15">
      <c r="A275" s="83" t="s">
        <v>2628</v>
      </c>
      <c r="B275" s="88" t="s">
        <v>2629</v>
      </c>
      <c r="C275" s="88">
        <v>2</v>
      </c>
      <c r="D275" s="110">
        <v>0.0011143972919833293</v>
      </c>
      <c r="E275" s="110">
        <v>3.224014811372864</v>
      </c>
      <c r="F275" s="88" t="s">
        <v>2714</v>
      </c>
      <c r="G275" s="88" t="b">
        <v>0</v>
      </c>
      <c r="H275" s="88" t="b">
        <v>0</v>
      </c>
      <c r="I275" s="88" t="b">
        <v>0</v>
      </c>
      <c r="J275" s="88" t="b">
        <v>0</v>
      </c>
      <c r="K275" s="88" t="b">
        <v>0</v>
      </c>
      <c r="L275" s="88" t="b">
        <v>0</v>
      </c>
    </row>
    <row r="276" spans="1:12" ht="15">
      <c r="A276" s="83" t="s">
        <v>2629</v>
      </c>
      <c r="B276" s="88" t="s">
        <v>2630</v>
      </c>
      <c r="C276" s="88">
        <v>2</v>
      </c>
      <c r="D276" s="110">
        <v>0.0011143972919833293</v>
      </c>
      <c r="E276" s="110">
        <v>3.224014811372864</v>
      </c>
      <c r="F276" s="88" t="s">
        <v>2714</v>
      </c>
      <c r="G276" s="88" t="b">
        <v>0</v>
      </c>
      <c r="H276" s="88" t="b">
        <v>0</v>
      </c>
      <c r="I276" s="88" t="b">
        <v>0</v>
      </c>
      <c r="J276" s="88" t="b">
        <v>0</v>
      </c>
      <c r="K276" s="88" t="b">
        <v>0</v>
      </c>
      <c r="L276" s="88" t="b">
        <v>0</v>
      </c>
    </row>
    <row r="277" spans="1:12" ht="15">
      <c r="A277" s="83" t="s">
        <v>2630</v>
      </c>
      <c r="B277" s="88" t="s">
        <v>1964</v>
      </c>
      <c r="C277" s="88">
        <v>2</v>
      </c>
      <c r="D277" s="110">
        <v>0.0011143972919833293</v>
      </c>
      <c r="E277" s="110">
        <v>1.3155297924942142</v>
      </c>
      <c r="F277" s="88" t="s">
        <v>2714</v>
      </c>
      <c r="G277" s="88" t="b">
        <v>0</v>
      </c>
      <c r="H277" s="88" t="b">
        <v>0</v>
      </c>
      <c r="I277" s="88" t="b">
        <v>0</v>
      </c>
      <c r="J277" s="88" t="b">
        <v>0</v>
      </c>
      <c r="K277" s="88" t="b">
        <v>0</v>
      </c>
      <c r="L277" s="88" t="b">
        <v>0</v>
      </c>
    </row>
    <row r="278" spans="1:12" ht="15">
      <c r="A278" s="83" t="s">
        <v>2434</v>
      </c>
      <c r="B278" s="88" t="s">
        <v>2631</v>
      </c>
      <c r="C278" s="88">
        <v>2</v>
      </c>
      <c r="D278" s="110">
        <v>0.0011143972919833293</v>
      </c>
      <c r="E278" s="110">
        <v>2.4458635609892205</v>
      </c>
      <c r="F278" s="88" t="s">
        <v>2714</v>
      </c>
      <c r="G278" s="88" t="b">
        <v>0</v>
      </c>
      <c r="H278" s="88" t="b">
        <v>0</v>
      </c>
      <c r="I278" s="88" t="b">
        <v>0</v>
      </c>
      <c r="J278" s="88" t="b">
        <v>0</v>
      </c>
      <c r="K278" s="88" t="b">
        <v>0</v>
      </c>
      <c r="L278" s="88" t="b">
        <v>0</v>
      </c>
    </row>
    <row r="279" spans="1:12" ht="15">
      <c r="A279" s="83" t="s">
        <v>2631</v>
      </c>
      <c r="B279" s="88" t="s">
        <v>2003</v>
      </c>
      <c r="C279" s="88">
        <v>2</v>
      </c>
      <c r="D279" s="110">
        <v>0.0011143972919833293</v>
      </c>
      <c r="E279" s="110">
        <v>2.4458635609892205</v>
      </c>
      <c r="F279" s="88" t="s">
        <v>2714</v>
      </c>
      <c r="G279" s="88" t="b">
        <v>0</v>
      </c>
      <c r="H279" s="88" t="b">
        <v>0</v>
      </c>
      <c r="I279" s="88" t="b">
        <v>0</v>
      </c>
      <c r="J279" s="88" t="b">
        <v>0</v>
      </c>
      <c r="K279" s="88" t="b">
        <v>0</v>
      </c>
      <c r="L279" s="88" t="b">
        <v>0</v>
      </c>
    </row>
    <row r="280" spans="1:12" ht="15">
      <c r="A280" s="83" t="s">
        <v>2003</v>
      </c>
      <c r="B280" s="88" t="s">
        <v>2632</v>
      </c>
      <c r="C280" s="88">
        <v>2</v>
      </c>
      <c r="D280" s="110">
        <v>0.0011143972919833293</v>
      </c>
      <c r="E280" s="110">
        <v>2.5708022975975204</v>
      </c>
      <c r="F280" s="88" t="s">
        <v>2714</v>
      </c>
      <c r="G280" s="88" t="b">
        <v>0</v>
      </c>
      <c r="H280" s="88" t="b">
        <v>0</v>
      </c>
      <c r="I280" s="88" t="b">
        <v>0</v>
      </c>
      <c r="J280" s="88" t="b">
        <v>1</v>
      </c>
      <c r="K280" s="88" t="b">
        <v>0</v>
      </c>
      <c r="L280" s="88" t="b">
        <v>0</v>
      </c>
    </row>
    <row r="281" spans="1:12" ht="15">
      <c r="A281" s="83" t="s">
        <v>2632</v>
      </c>
      <c r="B281" s="88" t="s">
        <v>2633</v>
      </c>
      <c r="C281" s="88">
        <v>2</v>
      </c>
      <c r="D281" s="110">
        <v>0.0011143972919833293</v>
      </c>
      <c r="E281" s="110">
        <v>3.224014811372864</v>
      </c>
      <c r="F281" s="88" t="s">
        <v>2714</v>
      </c>
      <c r="G281" s="88" t="b">
        <v>1</v>
      </c>
      <c r="H281" s="88" t="b">
        <v>0</v>
      </c>
      <c r="I281" s="88" t="b">
        <v>0</v>
      </c>
      <c r="J281" s="88" t="b">
        <v>0</v>
      </c>
      <c r="K281" s="88" t="b">
        <v>0</v>
      </c>
      <c r="L281" s="88" t="b">
        <v>0</v>
      </c>
    </row>
    <row r="282" spans="1:12" ht="15">
      <c r="A282" s="83" t="s">
        <v>2633</v>
      </c>
      <c r="B282" s="88" t="s">
        <v>2434</v>
      </c>
      <c r="C282" s="88">
        <v>2</v>
      </c>
      <c r="D282" s="110">
        <v>0.0011143972919833293</v>
      </c>
      <c r="E282" s="110">
        <v>2.4458635609892205</v>
      </c>
      <c r="F282" s="88" t="s">
        <v>2714</v>
      </c>
      <c r="G282" s="88" t="b">
        <v>0</v>
      </c>
      <c r="H282" s="88" t="b">
        <v>0</v>
      </c>
      <c r="I282" s="88" t="b">
        <v>0</v>
      </c>
      <c r="J282" s="88" t="b">
        <v>0</v>
      </c>
      <c r="K282" s="88" t="b">
        <v>0</v>
      </c>
      <c r="L282" s="88" t="b">
        <v>0</v>
      </c>
    </row>
    <row r="283" spans="1:12" ht="15">
      <c r="A283" s="83" t="s">
        <v>2434</v>
      </c>
      <c r="B283" s="88" t="s">
        <v>1969</v>
      </c>
      <c r="C283" s="88">
        <v>2</v>
      </c>
      <c r="D283" s="110">
        <v>0.0011143972919833293</v>
      </c>
      <c r="E283" s="110">
        <v>0.843803569661258</v>
      </c>
      <c r="F283" s="88" t="s">
        <v>2714</v>
      </c>
      <c r="G283" s="88" t="b">
        <v>0</v>
      </c>
      <c r="H283" s="88" t="b">
        <v>0</v>
      </c>
      <c r="I283" s="88" t="b">
        <v>0</v>
      </c>
      <c r="J283" s="88" t="b">
        <v>0</v>
      </c>
      <c r="K283" s="88" t="b">
        <v>0</v>
      </c>
      <c r="L283" s="88" t="b">
        <v>0</v>
      </c>
    </row>
    <row r="284" spans="1:12" ht="15">
      <c r="A284" s="83" t="s">
        <v>1969</v>
      </c>
      <c r="B284" s="88" t="s">
        <v>2634</v>
      </c>
      <c r="C284" s="88">
        <v>2</v>
      </c>
      <c r="D284" s="110">
        <v>0.0011143972919833293</v>
      </c>
      <c r="E284" s="110">
        <v>1.6219548200449017</v>
      </c>
      <c r="F284" s="88" t="s">
        <v>2714</v>
      </c>
      <c r="G284" s="88" t="b">
        <v>0</v>
      </c>
      <c r="H284" s="88" t="b">
        <v>0</v>
      </c>
      <c r="I284" s="88" t="b">
        <v>0</v>
      </c>
      <c r="J284" s="88" t="b">
        <v>0</v>
      </c>
      <c r="K284" s="88" t="b">
        <v>0</v>
      </c>
      <c r="L284" s="88" t="b">
        <v>0</v>
      </c>
    </row>
    <row r="285" spans="1:12" ht="15">
      <c r="A285" s="83" t="s">
        <v>2634</v>
      </c>
      <c r="B285" s="88" t="s">
        <v>2635</v>
      </c>
      <c r="C285" s="88">
        <v>2</v>
      </c>
      <c r="D285" s="110">
        <v>0.0011143972919833293</v>
      </c>
      <c r="E285" s="110">
        <v>3.224014811372864</v>
      </c>
      <c r="F285" s="88" t="s">
        <v>2714</v>
      </c>
      <c r="G285" s="88" t="b">
        <v>0</v>
      </c>
      <c r="H285" s="88" t="b">
        <v>0</v>
      </c>
      <c r="I285" s="88" t="b">
        <v>0</v>
      </c>
      <c r="J285" s="88" t="b">
        <v>0</v>
      </c>
      <c r="K285" s="88" t="b">
        <v>0</v>
      </c>
      <c r="L285" s="88" t="b">
        <v>0</v>
      </c>
    </row>
    <row r="286" spans="1:12" ht="15">
      <c r="A286" s="83" t="s">
        <v>1964</v>
      </c>
      <c r="B286" s="88" t="s">
        <v>2636</v>
      </c>
      <c r="C286" s="88">
        <v>2</v>
      </c>
      <c r="D286" s="110">
        <v>0.0011143972919833293</v>
      </c>
      <c r="E286" s="110">
        <v>1.2945958856585713</v>
      </c>
      <c r="F286" s="88" t="s">
        <v>2714</v>
      </c>
      <c r="G286" s="88" t="b">
        <v>0</v>
      </c>
      <c r="H286" s="88" t="b">
        <v>0</v>
      </c>
      <c r="I286" s="88" t="b">
        <v>0</v>
      </c>
      <c r="J286" s="88" t="b">
        <v>0</v>
      </c>
      <c r="K286" s="88" t="b">
        <v>0</v>
      </c>
      <c r="L286" s="88" t="b">
        <v>0</v>
      </c>
    </row>
    <row r="287" spans="1:12" ht="15">
      <c r="A287" s="83" t="s">
        <v>2636</v>
      </c>
      <c r="B287" s="88" t="s">
        <v>1964</v>
      </c>
      <c r="C287" s="88">
        <v>2</v>
      </c>
      <c r="D287" s="110">
        <v>0.0011143972919833293</v>
      </c>
      <c r="E287" s="110">
        <v>1.3155297924942142</v>
      </c>
      <c r="F287" s="88" t="s">
        <v>2714</v>
      </c>
      <c r="G287" s="88" t="b">
        <v>0</v>
      </c>
      <c r="H287" s="88" t="b">
        <v>0</v>
      </c>
      <c r="I287" s="88" t="b">
        <v>0</v>
      </c>
      <c r="J287" s="88" t="b">
        <v>0</v>
      </c>
      <c r="K287" s="88" t="b">
        <v>0</v>
      </c>
      <c r="L287" s="88" t="b">
        <v>0</v>
      </c>
    </row>
    <row r="288" spans="1:12" ht="15">
      <c r="A288" s="83" t="s">
        <v>1964</v>
      </c>
      <c r="B288" s="88" t="s">
        <v>2637</v>
      </c>
      <c r="C288" s="88">
        <v>2</v>
      </c>
      <c r="D288" s="110">
        <v>0.0011143972919833293</v>
      </c>
      <c r="E288" s="110">
        <v>1.2945958856585713</v>
      </c>
      <c r="F288" s="88" t="s">
        <v>2714</v>
      </c>
      <c r="G288" s="88" t="b">
        <v>0</v>
      </c>
      <c r="H288" s="88" t="b">
        <v>0</v>
      </c>
      <c r="I288" s="88" t="b">
        <v>0</v>
      </c>
      <c r="J288" s="88" t="b">
        <v>0</v>
      </c>
      <c r="K288" s="88" t="b">
        <v>0</v>
      </c>
      <c r="L288" s="88" t="b">
        <v>0</v>
      </c>
    </row>
    <row r="289" spans="1:12" ht="15">
      <c r="A289" s="83" t="s">
        <v>2637</v>
      </c>
      <c r="B289" s="88" t="s">
        <v>2638</v>
      </c>
      <c r="C289" s="88">
        <v>2</v>
      </c>
      <c r="D289" s="110">
        <v>0.0011143972919833293</v>
      </c>
      <c r="E289" s="110">
        <v>3.224014811372864</v>
      </c>
      <c r="F289" s="88" t="s">
        <v>2714</v>
      </c>
      <c r="G289" s="88" t="b">
        <v>0</v>
      </c>
      <c r="H289" s="88" t="b">
        <v>0</v>
      </c>
      <c r="I289" s="88" t="b">
        <v>0</v>
      </c>
      <c r="J289" s="88" t="b">
        <v>0</v>
      </c>
      <c r="K289" s="88" t="b">
        <v>0</v>
      </c>
      <c r="L289" s="88" t="b">
        <v>0</v>
      </c>
    </row>
    <row r="290" spans="1:12" ht="15">
      <c r="A290" s="83" t="s">
        <v>2638</v>
      </c>
      <c r="B290" s="88" t="s">
        <v>2436</v>
      </c>
      <c r="C290" s="88">
        <v>2</v>
      </c>
      <c r="D290" s="110">
        <v>0.0011143972919833293</v>
      </c>
      <c r="E290" s="110">
        <v>2.6219548200449014</v>
      </c>
      <c r="F290" s="88" t="s">
        <v>2714</v>
      </c>
      <c r="G290" s="88" t="b">
        <v>0</v>
      </c>
      <c r="H290" s="88" t="b">
        <v>0</v>
      </c>
      <c r="I290" s="88" t="b">
        <v>0</v>
      </c>
      <c r="J290" s="88" t="b">
        <v>0</v>
      </c>
      <c r="K290" s="88" t="b">
        <v>0</v>
      </c>
      <c r="L290" s="88" t="b">
        <v>0</v>
      </c>
    </row>
    <row r="291" spans="1:12" ht="15">
      <c r="A291" s="83" t="s">
        <v>2436</v>
      </c>
      <c r="B291" s="88" t="s">
        <v>2639</v>
      </c>
      <c r="C291" s="88">
        <v>2</v>
      </c>
      <c r="D291" s="110">
        <v>0.0011143972919833293</v>
      </c>
      <c r="E291" s="110">
        <v>2.6219548200449014</v>
      </c>
      <c r="F291" s="88" t="s">
        <v>2714</v>
      </c>
      <c r="G291" s="88" t="b">
        <v>0</v>
      </c>
      <c r="H291" s="88" t="b">
        <v>0</v>
      </c>
      <c r="I291" s="88" t="b">
        <v>0</v>
      </c>
      <c r="J291" s="88" t="b">
        <v>0</v>
      </c>
      <c r="K291" s="88" t="b">
        <v>0</v>
      </c>
      <c r="L291" s="88" t="b">
        <v>0</v>
      </c>
    </row>
    <row r="292" spans="1:12" ht="15">
      <c r="A292" s="83" t="s">
        <v>2639</v>
      </c>
      <c r="B292" s="88" t="s">
        <v>2640</v>
      </c>
      <c r="C292" s="88">
        <v>2</v>
      </c>
      <c r="D292" s="110">
        <v>0.0011143972919833293</v>
      </c>
      <c r="E292" s="110">
        <v>3.224014811372864</v>
      </c>
      <c r="F292" s="88" t="s">
        <v>2714</v>
      </c>
      <c r="G292" s="88" t="b">
        <v>0</v>
      </c>
      <c r="H292" s="88" t="b">
        <v>0</v>
      </c>
      <c r="I292" s="88" t="b">
        <v>0</v>
      </c>
      <c r="J292" s="88" t="b">
        <v>0</v>
      </c>
      <c r="K292" s="88" t="b">
        <v>0</v>
      </c>
      <c r="L292" s="88" t="b">
        <v>0</v>
      </c>
    </row>
    <row r="293" spans="1:12" ht="15">
      <c r="A293" s="83" t="s">
        <v>2640</v>
      </c>
      <c r="B293" s="88" t="s">
        <v>1979</v>
      </c>
      <c r="C293" s="88">
        <v>2</v>
      </c>
      <c r="D293" s="110">
        <v>0.0011143972919833293</v>
      </c>
      <c r="E293" s="110">
        <v>2.348953547981164</v>
      </c>
      <c r="F293" s="88" t="s">
        <v>2714</v>
      </c>
      <c r="G293" s="88" t="b">
        <v>0</v>
      </c>
      <c r="H293" s="88" t="b">
        <v>0</v>
      </c>
      <c r="I293" s="88" t="b">
        <v>0</v>
      </c>
      <c r="J293" s="88" t="b">
        <v>0</v>
      </c>
      <c r="K293" s="88" t="b">
        <v>0</v>
      </c>
      <c r="L293" s="88" t="b">
        <v>0</v>
      </c>
    </row>
    <row r="294" spans="1:12" ht="15">
      <c r="A294" s="83" t="s">
        <v>1980</v>
      </c>
      <c r="B294" s="88" t="s">
        <v>2641</v>
      </c>
      <c r="C294" s="88">
        <v>2</v>
      </c>
      <c r="D294" s="110">
        <v>0.0011143972919833293</v>
      </c>
      <c r="E294" s="110">
        <v>2.6219548200449014</v>
      </c>
      <c r="F294" s="88" t="s">
        <v>2714</v>
      </c>
      <c r="G294" s="88" t="b">
        <v>0</v>
      </c>
      <c r="H294" s="88" t="b">
        <v>0</v>
      </c>
      <c r="I294" s="88" t="b">
        <v>0</v>
      </c>
      <c r="J294" s="88" t="b">
        <v>0</v>
      </c>
      <c r="K294" s="88" t="b">
        <v>0</v>
      </c>
      <c r="L294" s="88" t="b">
        <v>0</v>
      </c>
    </row>
    <row r="295" spans="1:12" ht="15">
      <c r="A295" s="83" t="s">
        <v>2641</v>
      </c>
      <c r="B295" s="88" t="s">
        <v>2642</v>
      </c>
      <c r="C295" s="88">
        <v>2</v>
      </c>
      <c r="D295" s="110">
        <v>0.0011143972919833293</v>
      </c>
      <c r="E295" s="110">
        <v>3.224014811372864</v>
      </c>
      <c r="F295" s="88" t="s">
        <v>2714</v>
      </c>
      <c r="G295" s="88" t="b">
        <v>0</v>
      </c>
      <c r="H295" s="88" t="b">
        <v>0</v>
      </c>
      <c r="I295" s="88" t="b">
        <v>0</v>
      </c>
      <c r="J295" s="88" t="b">
        <v>0</v>
      </c>
      <c r="K295" s="88" t="b">
        <v>0</v>
      </c>
      <c r="L295" s="88" t="b">
        <v>0</v>
      </c>
    </row>
    <row r="296" spans="1:12" ht="15">
      <c r="A296" s="83" t="s">
        <v>2642</v>
      </c>
      <c r="B296" s="88" t="s">
        <v>2643</v>
      </c>
      <c r="C296" s="88">
        <v>2</v>
      </c>
      <c r="D296" s="110">
        <v>0.0011143972919833293</v>
      </c>
      <c r="E296" s="110">
        <v>3.224014811372864</v>
      </c>
      <c r="F296" s="88" t="s">
        <v>2714</v>
      </c>
      <c r="G296" s="88" t="b">
        <v>0</v>
      </c>
      <c r="H296" s="88" t="b">
        <v>0</v>
      </c>
      <c r="I296" s="88" t="b">
        <v>0</v>
      </c>
      <c r="J296" s="88" t="b">
        <v>0</v>
      </c>
      <c r="K296" s="88" t="b">
        <v>0</v>
      </c>
      <c r="L296" s="88" t="b">
        <v>0</v>
      </c>
    </row>
    <row r="297" spans="1:12" ht="15">
      <c r="A297" s="83" t="s">
        <v>2643</v>
      </c>
      <c r="B297" s="88" t="s">
        <v>2644</v>
      </c>
      <c r="C297" s="88">
        <v>2</v>
      </c>
      <c r="D297" s="110">
        <v>0.0011143972919833293</v>
      </c>
      <c r="E297" s="110">
        <v>3.224014811372864</v>
      </c>
      <c r="F297" s="88" t="s">
        <v>2714</v>
      </c>
      <c r="G297" s="88" t="b">
        <v>0</v>
      </c>
      <c r="H297" s="88" t="b">
        <v>0</v>
      </c>
      <c r="I297" s="88" t="b">
        <v>0</v>
      </c>
      <c r="J297" s="88" t="b">
        <v>0</v>
      </c>
      <c r="K297" s="88" t="b">
        <v>0</v>
      </c>
      <c r="L297" s="88" t="b">
        <v>0</v>
      </c>
    </row>
    <row r="298" spans="1:12" ht="15">
      <c r="A298" s="83" t="s">
        <v>2644</v>
      </c>
      <c r="B298" s="88" t="s">
        <v>1964</v>
      </c>
      <c r="C298" s="88">
        <v>2</v>
      </c>
      <c r="D298" s="110">
        <v>0.0011143972919833293</v>
      </c>
      <c r="E298" s="110">
        <v>1.3155297924942142</v>
      </c>
      <c r="F298" s="88" t="s">
        <v>2714</v>
      </c>
      <c r="G298" s="88" t="b">
        <v>0</v>
      </c>
      <c r="H298" s="88" t="b">
        <v>0</v>
      </c>
      <c r="I298" s="88" t="b">
        <v>0</v>
      </c>
      <c r="J298" s="88" t="b">
        <v>0</v>
      </c>
      <c r="K298" s="88" t="b">
        <v>0</v>
      </c>
      <c r="L298" s="88" t="b">
        <v>0</v>
      </c>
    </row>
    <row r="299" spans="1:12" ht="15">
      <c r="A299" s="83" t="s">
        <v>1964</v>
      </c>
      <c r="B299" s="88" t="s">
        <v>2645</v>
      </c>
      <c r="C299" s="88">
        <v>2</v>
      </c>
      <c r="D299" s="110">
        <v>0.0011143972919833293</v>
      </c>
      <c r="E299" s="110">
        <v>1.2945958856585713</v>
      </c>
      <c r="F299" s="88" t="s">
        <v>2714</v>
      </c>
      <c r="G299" s="88" t="b">
        <v>0</v>
      </c>
      <c r="H299" s="88" t="b">
        <v>0</v>
      </c>
      <c r="I299" s="88" t="b">
        <v>0</v>
      </c>
      <c r="J299" s="88" t="b">
        <v>0</v>
      </c>
      <c r="K299" s="88" t="b">
        <v>0</v>
      </c>
      <c r="L299" s="88" t="b">
        <v>0</v>
      </c>
    </row>
    <row r="300" spans="1:12" ht="15">
      <c r="A300" s="83" t="s">
        <v>2645</v>
      </c>
      <c r="B300" s="88" t="s">
        <v>2646</v>
      </c>
      <c r="C300" s="88">
        <v>2</v>
      </c>
      <c r="D300" s="110">
        <v>0.0011143972919833293</v>
      </c>
      <c r="E300" s="110">
        <v>3.224014811372864</v>
      </c>
      <c r="F300" s="88" t="s">
        <v>2714</v>
      </c>
      <c r="G300" s="88" t="b">
        <v>0</v>
      </c>
      <c r="H300" s="88" t="b">
        <v>0</v>
      </c>
      <c r="I300" s="88" t="b">
        <v>0</v>
      </c>
      <c r="J300" s="88" t="b">
        <v>0</v>
      </c>
      <c r="K300" s="88" t="b">
        <v>0</v>
      </c>
      <c r="L300" s="88" t="b">
        <v>0</v>
      </c>
    </row>
    <row r="301" spans="1:12" ht="15">
      <c r="A301" s="83" t="s">
        <v>2646</v>
      </c>
      <c r="B301" s="88" t="s">
        <v>1944</v>
      </c>
      <c r="C301" s="88">
        <v>2</v>
      </c>
      <c r="D301" s="110">
        <v>0.0011143972919833293</v>
      </c>
      <c r="E301" s="110">
        <v>1.2261917306271386</v>
      </c>
      <c r="F301" s="88" t="s">
        <v>2714</v>
      </c>
      <c r="G301" s="88" t="b">
        <v>0</v>
      </c>
      <c r="H301" s="88" t="b">
        <v>0</v>
      </c>
      <c r="I301" s="88" t="b">
        <v>0</v>
      </c>
      <c r="J301" s="88" t="b">
        <v>0</v>
      </c>
      <c r="K301" s="88" t="b">
        <v>0</v>
      </c>
      <c r="L301" s="88" t="b">
        <v>0</v>
      </c>
    </row>
    <row r="302" spans="1:12" ht="15">
      <c r="A302" s="83" t="s">
        <v>2019</v>
      </c>
      <c r="B302" s="88" t="s">
        <v>2020</v>
      </c>
      <c r="C302" s="88">
        <v>2</v>
      </c>
      <c r="D302" s="110">
        <v>0.0011143972919833293</v>
      </c>
      <c r="E302" s="110">
        <v>3.047923552317183</v>
      </c>
      <c r="F302" s="88" t="s">
        <v>2714</v>
      </c>
      <c r="G302" s="88" t="b">
        <v>0</v>
      </c>
      <c r="H302" s="88" t="b">
        <v>0</v>
      </c>
      <c r="I302" s="88" t="b">
        <v>0</v>
      </c>
      <c r="J302" s="88" t="b">
        <v>0</v>
      </c>
      <c r="K302" s="88" t="b">
        <v>0</v>
      </c>
      <c r="L302" s="88" t="b">
        <v>0</v>
      </c>
    </row>
    <row r="303" spans="1:12" ht="15">
      <c r="A303" s="83" t="s">
        <v>2020</v>
      </c>
      <c r="B303" s="88" t="s">
        <v>2021</v>
      </c>
      <c r="C303" s="88">
        <v>2</v>
      </c>
      <c r="D303" s="110">
        <v>0.0011143972919833293</v>
      </c>
      <c r="E303" s="110">
        <v>2.649983543645145</v>
      </c>
      <c r="F303" s="88" t="s">
        <v>2714</v>
      </c>
      <c r="G303" s="88" t="b">
        <v>0</v>
      </c>
      <c r="H303" s="88" t="b">
        <v>0</v>
      </c>
      <c r="I303" s="88" t="b">
        <v>0</v>
      </c>
      <c r="J303" s="88" t="b">
        <v>0</v>
      </c>
      <c r="K303" s="88" t="b">
        <v>0</v>
      </c>
      <c r="L303" s="88" t="b">
        <v>0</v>
      </c>
    </row>
    <row r="304" spans="1:12" ht="15">
      <c r="A304" s="83" t="s">
        <v>2017</v>
      </c>
      <c r="B304" s="88" t="s">
        <v>2022</v>
      </c>
      <c r="C304" s="88">
        <v>2</v>
      </c>
      <c r="D304" s="110">
        <v>0.0011143972919833293</v>
      </c>
      <c r="E304" s="110">
        <v>2.8260748027008264</v>
      </c>
      <c r="F304" s="88" t="s">
        <v>2714</v>
      </c>
      <c r="G304" s="88" t="b">
        <v>0</v>
      </c>
      <c r="H304" s="88" t="b">
        <v>0</v>
      </c>
      <c r="I304" s="88" t="b">
        <v>0</v>
      </c>
      <c r="J304" s="88" t="b">
        <v>0</v>
      </c>
      <c r="K304" s="88" t="b">
        <v>0</v>
      </c>
      <c r="L304" s="88" t="b">
        <v>0</v>
      </c>
    </row>
    <row r="305" spans="1:12" ht="15">
      <c r="A305" s="83" t="s">
        <v>2022</v>
      </c>
      <c r="B305" s="88" t="s">
        <v>2023</v>
      </c>
      <c r="C305" s="88">
        <v>2</v>
      </c>
      <c r="D305" s="110">
        <v>0.0011143972919833293</v>
      </c>
      <c r="E305" s="110">
        <v>3.224014811372864</v>
      </c>
      <c r="F305" s="88" t="s">
        <v>2714</v>
      </c>
      <c r="G305" s="88" t="b">
        <v>0</v>
      </c>
      <c r="H305" s="88" t="b">
        <v>0</v>
      </c>
      <c r="I305" s="88" t="b">
        <v>0</v>
      </c>
      <c r="J305" s="88" t="b">
        <v>0</v>
      </c>
      <c r="K305" s="88" t="b">
        <v>0</v>
      </c>
      <c r="L305" s="88" t="b">
        <v>0</v>
      </c>
    </row>
    <row r="306" spans="1:12" ht="15">
      <c r="A306" s="83" t="s">
        <v>2023</v>
      </c>
      <c r="B306" s="88" t="s">
        <v>2647</v>
      </c>
      <c r="C306" s="88">
        <v>2</v>
      </c>
      <c r="D306" s="110">
        <v>0.0011143972919833293</v>
      </c>
      <c r="E306" s="110">
        <v>3.224014811372864</v>
      </c>
      <c r="F306" s="88" t="s">
        <v>2714</v>
      </c>
      <c r="G306" s="88" t="b">
        <v>0</v>
      </c>
      <c r="H306" s="88" t="b">
        <v>0</v>
      </c>
      <c r="I306" s="88" t="b">
        <v>0</v>
      </c>
      <c r="J306" s="88" t="b">
        <v>0</v>
      </c>
      <c r="K306" s="88" t="b">
        <v>0</v>
      </c>
      <c r="L306" s="88" t="b">
        <v>0</v>
      </c>
    </row>
    <row r="307" spans="1:12" ht="15">
      <c r="A307" s="83" t="s">
        <v>2647</v>
      </c>
      <c r="B307" s="88" t="s">
        <v>2018</v>
      </c>
      <c r="C307" s="88">
        <v>2</v>
      </c>
      <c r="D307" s="110">
        <v>0.0011143972919833293</v>
      </c>
      <c r="E307" s="110">
        <v>3.047923552317183</v>
      </c>
      <c r="F307" s="88" t="s">
        <v>2714</v>
      </c>
      <c r="G307" s="88" t="b">
        <v>0</v>
      </c>
      <c r="H307" s="88" t="b">
        <v>0</v>
      </c>
      <c r="I307" s="88" t="b">
        <v>0</v>
      </c>
      <c r="J307" s="88" t="b">
        <v>0</v>
      </c>
      <c r="K307" s="88" t="b">
        <v>0</v>
      </c>
      <c r="L307" s="88" t="b">
        <v>0</v>
      </c>
    </row>
    <row r="308" spans="1:12" ht="15">
      <c r="A308" s="83" t="s">
        <v>2018</v>
      </c>
      <c r="B308" s="88" t="s">
        <v>2648</v>
      </c>
      <c r="C308" s="88">
        <v>2</v>
      </c>
      <c r="D308" s="110">
        <v>0.0011143972919833293</v>
      </c>
      <c r="E308" s="110">
        <v>3.047923552317183</v>
      </c>
      <c r="F308" s="88" t="s">
        <v>2714</v>
      </c>
      <c r="G308" s="88" t="b">
        <v>0</v>
      </c>
      <c r="H308" s="88" t="b">
        <v>0</v>
      </c>
      <c r="I308" s="88" t="b">
        <v>0</v>
      </c>
      <c r="J308" s="88" t="b">
        <v>0</v>
      </c>
      <c r="K308" s="88" t="b">
        <v>0</v>
      </c>
      <c r="L308" s="88" t="b">
        <v>0</v>
      </c>
    </row>
    <row r="309" spans="1:12" ht="15">
      <c r="A309" s="83" t="s">
        <v>2648</v>
      </c>
      <c r="B309" s="88" t="s">
        <v>1964</v>
      </c>
      <c r="C309" s="88">
        <v>2</v>
      </c>
      <c r="D309" s="110">
        <v>0.0011143972919833293</v>
      </c>
      <c r="E309" s="110">
        <v>1.3155297924942142</v>
      </c>
      <c r="F309" s="88" t="s">
        <v>2714</v>
      </c>
      <c r="G309" s="88" t="b">
        <v>0</v>
      </c>
      <c r="H309" s="88" t="b">
        <v>0</v>
      </c>
      <c r="I309" s="88" t="b">
        <v>0</v>
      </c>
      <c r="J309" s="88" t="b">
        <v>0</v>
      </c>
      <c r="K309" s="88" t="b">
        <v>0</v>
      </c>
      <c r="L309" s="88" t="b">
        <v>0</v>
      </c>
    </row>
    <row r="310" spans="1:12" ht="15">
      <c r="A310" s="83" t="s">
        <v>1944</v>
      </c>
      <c r="B310" s="88" t="s">
        <v>389</v>
      </c>
      <c r="C310" s="88">
        <v>2</v>
      </c>
      <c r="D310" s="110">
        <v>0.0011143972919833293</v>
      </c>
      <c r="E310" s="110">
        <v>1.2417435783332957</v>
      </c>
      <c r="F310" s="88" t="s">
        <v>2714</v>
      </c>
      <c r="G310" s="88" t="b">
        <v>0</v>
      </c>
      <c r="H310" s="88" t="b">
        <v>0</v>
      </c>
      <c r="I310" s="88" t="b">
        <v>0</v>
      </c>
      <c r="J310" s="88" t="b">
        <v>0</v>
      </c>
      <c r="K310" s="88" t="b">
        <v>0</v>
      </c>
      <c r="L310" s="88" t="b">
        <v>0</v>
      </c>
    </row>
    <row r="311" spans="1:12" ht="15">
      <c r="A311" s="83" t="s">
        <v>2651</v>
      </c>
      <c r="B311" s="88" t="s">
        <v>2537</v>
      </c>
      <c r="C311" s="88">
        <v>2</v>
      </c>
      <c r="D311" s="110">
        <v>0.0011143972919833293</v>
      </c>
      <c r="E311" s="110">
        <v>3.047923552317183</v>
      </c>
      <c r="F311" s="88" t="s">
        <v>2714</v>
      </c>
      <c r="G311" s="88" t="b">
        <v>0</v>
      </c>
      <c r="H311" s="88" t="b">
        <v>0</v>
      </c>
      <c r="I311" s="88" t="b">
        <v>0</v>
      </c>
      <c r="J311" s="88" t="b">
        <v>1</v>
      </c>
      <c r="K311" s="88" t="b">
        <v>0</v>
      </c>
      <c r="L311" s="88" t="b">
        <v>0</v>
      </c>
    </row>
    <row r="312" spans="1:12" ht="15">
      <c r="A312" s="83" t="s">
        <v>2537</v>
      </c>
      <c r="B312" s="88" t="s">
        <v>1964</v>
      </c>
      <c r="C312" s="88">
        <v>2</v>
      </c>
      <c r="D312" s="110">
        <v>0.0011143972919833293</v>
      </c>
      <c r="E312" s="110">
        <v>1.139438533438533</v>
      </c>
      <c r="F312" s="88" t="s">
        <v>2714</v>
      </c>
      <c r="G312" s="88" t="b">
        <v>1</v>
      </c>
      <c r="H312" s="88" t="b">
        <v>0</v>
      </c>
      <c r="I312" s="88" t="b">
        <v>0</v>
      </c>
      <c r="J312" s="88" t="b">
        <v>0</v>
      </c>
      <c r="K312" s="88" t="b">
        <v>0</v>
      </c>
      <c r="L312" s="88" t="b">
        <v>0</v>
      </c>
    </row>
    <row r="313" spans="1:12" ht="15">
      <c r="A313" s="83" t="s">
        <v>1944</v>
      </c>
      <c r="B313" s="88" t="s">
        <v>2652</v>
      </c>
      <c r="C313" s="88">
        <v>2</v>
      </c>
      <c r="D313" s="110">
        <v>0.0011143972919833293</v>
      </c>
      <c r="E313" s="110">
        <v>1.2417435783332957</v>
      </c>
      <c r="F313" s="88" t="s">
        <v>2714</v>
      </c>
      <c r="G313" s="88" t="b">
        <v>0</v>
      </c>
      <c r="H313" s="88" t="b">
        <v>0</v>
      </c>
      <c r="I313" s="88" t="b">
        <v>0</v>
      </c>
      <c r="J313" s="88" t="b">
        <v>0</v>
      </c>
      <c r="K313" s="88" t="b">
        <v>0</v>
      </c>
      <c r="L313" s="88" t="b">
        <v>0</v>
      </c>
    </row>
    <row r="314" spans="1:12" ht="15">
      <c r="A314" s="83" t="s">
        <v>2652</v>
      </c>
      <c r="B314" s="88" t="s">
        <v>2653</v>
      </c>
      <c r="C314" s="88">
        <v>2</v>
      </c>
      <c r="D314" s="110">
        <v>0.0011143972919833293</v>
      </c>
      <c r="E314" s="110">
        <v>3.224014811372864</v>
      </c>
      <c r="F314" s="88" t="s">
        <v>2714</v>
      </c>
      <c r="G314" s="88" t="b">
        <v>0</v>
      </c>
      <c r="H314" s="88" t="b">
        <v>0</v>
      </c>
      <c r="I314" s="88" t="b">
        <v>0</v>
      </c>
      <c r="J314" s="88" t="b">
        <v>0</v>
      </c>
      <c r="K314" s="88" t="b">
        <v>0</v>
      </c>
      <c r="L314" s="88" t="b">
        <v>0</v>
      </c>
    </row>
    <row r="315" spans="1:12" ht="15">
      <c r="A315" s="83" t="s">
        <v>2653</v>
      </c>
      <c r="B315" s="88" t="s">
        <v>1997</v>
      </c>
      <c r="C315" s="88">
        <v>2</v>
      </c>
      <c r="D315" s="110">
        <v>0.0011143972919833293</v>
      </c>
      <c r="E315" s="110">
        <v>2.2945958856585715</v>
      </c>
      <c r="F315" s="88" t="s">
        <v>2714</v>
      </c>
      <c r="G315" s="88" t="b">
        <v>0</v>
      </c>
      <c r="H315" s="88" t="b">
        <v>0</v>
      </c>
      <c r="I315" s="88" t="b">
        <v>0</v>
      </c>
      <c r="J315" s="88" t="b">
        <v>0</v>
      </c>
      <c r="K315" s="88" t="b">
        <v>0</v>
      </c>
      <c r="L315" s="88" t="b">
        <v>0</v>
      </c>
    </row>
    <row r="316" spans="1:12" ht="15">
      <c r="A316" s="83" t="s">
        <v>1997</v>
      </c>
      <c r="B316" s="88" t="s">
        <v>2495</v>
      </c>
      <c r="C316" s="88">
        <v>2</v>
      </c>
      <c r="D316" s="110">
        <v>0.0011143972919833293</v>
      </c>
      <c r="E316" s="110">
        <v>1.99356588999459</v>
      </c>
      <c r="F316" s="88" t="s">
        <v>2714</v>
      </c>
      <c r="G316" s="88" t="b">
        <v>0</v>
      </c>
      <c r="H316" s="88" t="b">
        <v>0</v>
      </c>
      <c r="I316" s="88" t="b">
        <v>0</v>
      </c>
      <c r="J316" s="88" t="b">
        <v>0</v>
      </c>
      <c r="K316" s="88" t="b">
        <v>0</v>
      </c>
      <c r="L316" s="88" t="b">
        <v>0</v>
      </c>
    </row>
    <row r="317" spans="1:12" ht="15">
      <c r="A317" s="83" t="s">
        <v>2495</v>
      </c>
      <c r="B317" s="88" t="s">
        <v>1967</v>
      </c>
      <c r="C317" s="88">
        <v>2</v>
      </c>
      <c r="D317" s="110">
        <v>0.0011143972919833293</v>
      </c>
      <c r="E317" s="110">
        <v>1.2649734190517705</v>
      </c>
      <c r="F317" s="88" t="s">
        <v>2714</v>
      </c>
      <c r="G317" s="88" t="b">
        <v>0</v>
      </c>
      <c r="H317" s="88" t="b">
        <v>0</v>
      </c>
      <c r="I317" s="88" t="b">
        <v>0</v>
      </c>
      <c r="J317" s="88" t="b">
        <v>0</v>
      </c>
      <c r="K317" s="88" t="b">
        <v>0</v>
      </c>
      <c r="L317" s="88" t="b">
        <v>0</v>
      </c>
    </row>
    <row r="318" spans="1:12" ht="15">
      <c r="A318" s="83" t="s">
        <v>1967</v>
      </c>
      <c r="B318" s="88" t="s">
        <v>2507</v>
      </c>
      <c r="C318" s="88">
        <v>2</v>
      </c>
      <c r="D318" s="110">
        <v>0.0011143972919833293</v>
      </c>
      <c r="E318" s="110">
        <v>1.3899121556600704</v>
      </c>
      <c r="F318" s="88" t="s">
        <v>2714</v>
      </c>
      <c r="G318" s="88" t="b">
        <v>0</v>
      </c>
      <c r="H318" s="88" t="b">
        <v>0</v>
      </c>
      <c r="I318" s="88" t="b">
        <v>0</v>
      </c>
      <c r="J318" s="88" t="b">
        <v>0</v>
      </c>
      <c r="K318" s="88" t="b">
        <v>0</v>
      </c>
      <c r="L318" s="88" t="b">
        <v>0</v>
      </c>
    </row>
    <row r="319" spans="1:12" ht="15">
      <c r="A319" s="83" t="s">
        <v>2507</v>
      </c>
      <c r="B319" s="88" t="s">
        <v>1964</v>
      </c>
      <c r="C319" s="88">
        <v>2</v>
      </c>
      <c r="D319" s="110">
        <v>0.0011143972919833293</v>
      </c>
      <c r="E319" s="110">
        <v>1.139438533438533</v>
      </c>
      <c r="F319" s="88" t="s">
        <v>2714</v>
      </c>
      <c r="G319" s="88" t="b">
        <v>0</v>
      </c>
      <c r="H319" s="88" t="b">
        <v>0</v>
      </c>
      <c r="I319" s="88" t="b">
        <v>0</v>
      </c>
      <c r="J319" s="88" t="b">
        <v>0</v>
      </c>
      <c r="K319" s="88" t="b">
        <v>0</v>
      </c>
      <c r="L319" s="88" t="b">
        <v>0</v>
      </c>
    </row>
    <row r="320" spans="1:12" ht="15">
      <c r="A320" s="83" t="s">
        <v>1965</v>
      </c>
      <c r="B320" s="88" t="s">
        <v>2654</v>
      </c>
      <c r="C320" s="88">
        <v>2</v>
      </c>
      <c r="D320" s="110">
        <v>0.0011143972919833293</v>
      </c>
      <c r="E320" s="110">
        <v>1.3102009589891472</v>
      </c>
      <c r="F320" s="88" t="s">
        <v>2714</v>
      </c>
      <c r="G320" s="88" t="b">
        <v>0</v>
      </c>
      <c r="H320" s="88" t="b">
        <v>0</v>
      </c>
      <c r="I320" s="88" t="b">
        <v>0</v>
      </c>
      <c r="J320" s="88" t="b">
        <v>0</v>
      </c>
      <c r="K320" s="88" t="b">
        <v>0</v>
      </c>
      <c r="L320" s="88" t="b">
        <v>0</v>
      </c>
    </row>
    <row r="321" spans="1:12" ht="15">
      <c r="A321" s="83" t="s">
        <v>2654</v>
      </c>
      <c r="B321" s="88" t="s">
        <v>2538</v>
      </c>
      <c r="C321" s="88">
        <v>2</v>
      </c>
      <c r="D321" s="110">
        <v>0.0011143972919833293</v>
      </c>
      <c r="E321" s="110">
        <v>3.047923552317183</v>
      </c>
      <c r="F321" s="88" t="s">
        <v>2714</v>
      </c>
      <c r="G321" s="88" t="b">
        <v>0</v>
      </c>
      <c r="H321" s="88" t="b">
        <v>0</v>
      </c>
      <c r="I321" s="88" t="b">
        <v>0</v>
      </c>
      <c r="J321" s="88" t="b">
        <v>0</v>
      </c>
      <c r="K321" s="88" t="b">
        <v>0</v>
      </c>
      <c r="L321" s="88" t="b">
        <v>0</v>
      </c>
    </row>
    <row r="322" spans="1:12" ht="15">
      <c r="A322" s="83" t="s">
        <v>2538</v>
      </c>
      <c r="B322" s="88" t="s">
        <v>2655</v>
      </c>
      <c r="C322" s="88">
        <v>2</v>
      </c>
      <c r="D322" s="110">
        <v>0.0011143972919833293</v>
      </c>
      <c r="E322" s="110">
        <v>3.047923552317183</v>
      </c>
      <c r="F322" s="88" t="s">
        <v>2714</v>
      </c>
      <c r="G322" s="88" t="b">
        <v>0</v>
      </c>
      <c r="H322" s="88" t="b">
        <v>0</v>
      </c>
      <c r="I322" s="88" t="b">
        <v>0</v>
      </c>
      <c r="J322" s="88" t="b">
        <v>0</v>
      </c>
      <c r="K322" s="88" t="b">
        <v>0</v>
      </c>
      <c r="L322" s="88" t="b">
        <v>0</v>
      </c>
    </row>
    <row r="323" spans="1:12" ht="15">
      <c r="A323" s="83" t="s">
        <v>2655</v>
      </c>
      <c r="B323" s="88" t="s">
        <v>2656</v>
      </c>
      <c r="C323" s="88">
        <v>2</v>
      </c>
      <c r="D323" s="110">
        <v>0.0011143972919833293</v>
      </c>
      <c r="E323" s="110">
        <v>3.224014811372864</v>
      </c>
      <c r="F323" s="88" t="s">
        <v>2714</v>
      </c>
      <c r="G323" s="88" t="b">
        <v>0</v>
      </c>
      <c r="H323" s="88" t="b">
        <v>0</v>
      </c>
      <c r="I323" s="88" t="b">
        <v>0</v>
      </c>
      <c r="J323" s="88" t="b">
        <v>0</v>
      </c>
      <c r="K323" s="88" t="b">
        <v>0</v>
      </c>
      <c r="L323" s="88" t="b">
        <v>0</v>
      </c>
    </row>
    <row r="324" spans="1:12" ht="15">
      <c r="A324" s="83" t="s">
        <v>1971</v>
      </c>
      <c r="B324" s="88" t="s">
        <v>1944</v>
      </c>
      <c r="C324" s="88">
        <v>2</v>
      </c>
      <c r="D324" s="110">
        <v>0.0011143972919833293</v>
      </c>
      <c r="E324" s="110">
        <v>-0.3592689988813621</v>
      </c>
      <c r="F324" s="88" t="s">
        <v>2714</v>
      </c>
      <c r="G324" s="88" t="b">
        <v>0</v>
      </c>
      <c r="H324" s="88" t="b">
        <v>0</v>
      </c>
      <c r="I324" s="88" t="b">
        <v>0</v>
      </c>
      <c r="J324" s="88" t="b">
        <v>0</v>
      </c>
      <c r="K324" s="88" t="b">
        <v>0</v>
      </c>
      <c r="L324" s="88" t="b">
        <v>0</v>
      </c>
    </row>
    <row r="325" spans="1:12" ht="15">
      <c r="A325" s="83" t="s">
        <v>2499</v>
      </c>
      <c r="B325" s="88" t="s">
        <v>1964</v>
      </c>
      <c r="C325" s="88">
        <v>2</v>
      </c>
      <c r="D325" s="110">
        <v>0.0011143972919833293</v>
      </c>
      <c r="E325" s="110">
        <v>1.0144997968302332</v>
      </c>
      <c r="F325" s="88" t="s">
        <v>2714</v>
      </c>
      <c r="G325" s="88" t="b">
        <v>0</v>
      </c>
      <c r="H325" s="88" t="b">
        <v>0</v>
      </c>
      <c r="I325" s="88" t="b">
        <v>0</v>
      </c>
      <c r="J325" s="88" t="b">
        <v>0</v>
      </c>
      <c r="K325" s="88" t="b">
        <v>0</v>
      </c>
      <c r="L325" s="88" t="b">
        <v>0</v>
      </c>
    </row>
    <row r="326" spans="1:12" ht="15">
      <c r="A326" s="83" t="s">
        <v>2433</v>
      </c>
      <c r="B326" s="88" t="s">
        <v>2662</v>
      </c>
      <c r="C326" s="88">
        <v>2</v>
      </c>
      <c r="D326" s="110">
        <v>0.0012846149881461685</v>
      </c>
      <c r="E326" s="110">
        <v>2.4458635609892205</v>
      </c>
      <c r="F326" s="88" t="s">
        <v>2714</v>
      </c>
      <c r="G326" s="88" t="b">
        <v>0</v>
      </c>
      <c r="H326" s="88" t="b">
        <v>0</v>
      </c>
      <c r="I326" s="88" t="b">
        <v>0</v>
      </c>
      <c r="J326" s="88" t="b">
        <v>0</v>
      </c>
      <c r="K326" s="88" t="b">
        <v>0</v>
      </c>
      <c r="L326" s="88" t="b">
        <v>0</v>
      </c>
    </row>
    <row r="327" spans="1:12" ht="15">
      <c r="A327" s="83" t="s">
        <v>1944</v>
      </c>
      <c r="B327" s="88" t="s">
        <v>2663</v>
      </c>
      <c r="C327" s="88">
        <v>2</v>
      </c>
      <c r="D327" s="110">
        <v>0.0011143972919833293</v>
      </c>
      <c r="E327" s="110">
        <v>1.2417435783332957</v>
      </c>
      <c r="F327" s="88" t="s">
        <v>2714</v>
      </c>
      <c r="G327" s="88" t="b">
        <v>0</v>
      </c>
      <c r="H327" s="88" t="b">
        <v>0</v>
      </c>
      <c r="I327" s="88" t="b">
        <v>0</v>
      </c>
      <c r="J327" s="88" t="b">
        <v>0</v>
      </c>
      <c r="K327" s="88" t="b">
        <v>0</v>
      </c>
      <c r="L327" s="88" t="b">
        <v>0</v>
      </c>
    </row>
    <row r="328" spans="1:12" ht="15">
      <c r="A328" s="83" t="s">
        <v>2663</v>
      </c>
      <c r="B328" s="88" t="s">
        <v>2664</v>
      </c>
      <c r="C328" s="88">
        <v>2</v>
      </c>
      <c r="D328" s="110">
        <v>0.0011143972919833293</v>
      </c>
      <c r="E328" s="110">
        <v>3.224014811372864</v>
      </c>
      <c r="F328" s="88" t="s">
        <v>2714</v>
      </c>
      <c r="G328" s="88" t="b">
        <v>0</v>
      </c>
      <c r="H328" s="88" t="b">
        <v>0</v>
      </c>
      <c r="I328" s="88" t="b">
        <v>0</v>
      </c>
      <c r="J328" s="88" t="b">
        <v>0</v>
      </c>
      <c r="K328" s="88" t="b">
        <v>0</v>
      </c>
      <c r="L328" s="88" t="b">
        <v>0</v>
      </c>
    </row>
    <row r="329" spans="1:12" ht="15">
      <c r="A329" s="83" t="s">
        <v>2664</v>
      </c>
      <c r="B329" s="88" t="s">
        <v>2665</v>
      </c>
      <c r="C329" s="88">
        <v>2</v>
      </c>
      <c r="D329" s="110">
        <v>0.0011143972919833293</v>
      </c>
      <c r="E329" s="110">
        <v>3.224014811372864</v>
      </c>
      <c r="F329" s="88" t="s">
        <v>2714</v>
      </c>
      <c r="G329" s="88" t="b">
        <v>0</v>
      </c>
      <c r="H329" s="88" t="b">
        <v>0</v>
      </c>
      <c r="I329" s="88" t="b">
        <v>0</v>
      </c>
      <c r="J329" s="88" t="b">
        <v>0</v>
      </c>
      <c r="K329" s="88" t="b">
        <v>0</v>
      </c>
      <c r="L329" s="88" t="b">
        <v>0</v>
      </c>
    </row>
    <row r="330" spans="1:12" ht="15">
      <c r="A330" s="83" t="s">
        <v>2665</v>
      </c>
      <c r="B330" s="88" t="s">
        <v>2547</v>
      </c>
      <c r="C330" s="88">
        <v>2</v>
      </c>
      <c r="D330" s="110">
        <v>0.0011143972919833293</v>
      </c>
      <c r="E330" s="110">
        <v>3.047923552317183</v>
      </c>
      <c r="F330" s="88" t="s">
        <v>2714</v>
      </c>
      <c r="G330" s="88" t="b">
        <v>0</v>
      </c>
      <c r="H330" s="88" t="b">
        <v>0</v>
      </c>
      <c r="I330" s="88" t="b">
        <v>0</v>
      </c>
      <c r="J330" s="88" t="b">
        <v>0</v>
      </c>
      <c r="K330" s="88" t="b">
        <v>0</v>
      </c>
      <c r="L330" s="88" t="b">
        <v>0</v>
      </c>
    </row>
    <row r="331" spans="1:12" ht="15">
      <c r="A331" s="83" t="s">
        <v>2547</v>
      </c>
      <c r="B331" s="88" t="s">
        <v>2444</v>
      </c>
      <c r="C331" s="88">
        <v>2</v>
      </c>
      <c r="D331" s="110">
        <v>0.0011143972919833293</v>
      </c>
      <c r="E331" s="110">
        <v>2.8718322932615017</v>
      </c>
      <c r="F331" s="88" t="s">
        <v>2714</v>
      </c>
      <c r="G331" s="88" t="b">
        <v>0</v>
      </c>
      <c r="H331" s="88" t="b">
        <v>0</v>
      </c>
      <c r="I331" s="88" t="b">
        <v>0</v>
      </c>
      <c r="J331" s="88" t="b">
        <v>0</v>
      </c>
      <c r="K331" s="88" t="b">
        <v>0</v>
      </c>
      <c r="L331" s="88" t="b">
        <v>0</v>
      </c>
    </row>
    <row r="332" spans="1:12" ht="15">
      <c r="A332" s="83" t="s">
        <v>2444</v>
      </c>
      <c r="B332" s="88" t="s">
        <v>2498</v>
      </c>
      <c r="C332" s="88">
        <v>2</v>
      </c>
      <c r="D332" s="110">
        <v>0.0011143972919833293</v>
      </c>
      <c r="E332" s="110">
        <v>2.3789167713586075</v>
      </c>
      <c r="F332" s="88" t="s">
        <v>2714</v>
      </c>
      <c r="G332" s="88" t="b">
        <v>0</v>
      </c>
      <c r="H332" s="88" t="b">
        <v>0</v>
      </c>
      <c r="I332" s="88" t="b">
        <v>0</v>
      </c>
      <c r="J332" s="88" t="b">
        <v>0</v>
      </c>
      <c r="K332" s="88" t="b">
        <v>0</v>
      </c>
      <c r="L332" s="88" t="b">
        <v>0</v>
      </c>
    </row>
    <row r="333" spans="1:12" ht="15">
      <c r="A333" s="83" t="s">
        <v>2498</v>
      </c>
      <c r="B333" s="88" t="s">
        <v>2666</v>
      </c>
      <c r="C333" s="88">
        <v>2</v>
      </c>
      <c r="D333" s="110">
        <v>0.0011143972919833293</v>
      </c>
      <c r="E333" s="110">
        <v>2.9229848157088827</v>
      </c>
      <c r="F333" s="88" t="s">
        <v>2714</v>
      </c>
      <c r="G333" s="88" t="b">
        <v>0</v>
      </c>
      <c r="H333" s="88" t="b">
        <v>0</v>
      </c>
      <c r="I333" s="88" t="b">
        <v>0</v>
      </c>
      <c r="J333" s="88" t="b">
        <v>0</v>
      </c>
      <c r="K333" s="88" t="b">
        <v>0</v>
      </c>
      <c r="L333" s="88" t="b">
        <v>0</v>
      </c>
    </row>
    <row r="334" spans="1:12" ht="15">
      <c r="A334" s="83" t="s">
        <v>2666</v>
      </c>
      <c r="B334" s="88" t="s">
        <v>2667</v>
      </c>
      <c r="C334" s="88">
        <v>2</v>
      </c>
      <c r="D334" s="110">
        <v>0.0011143972919833293</v>
      </c>
      <c r="E334" s="110">
        <v>3.224014811372864</v>
      </c>
      <c r="F334" s="88" t="s">
        <v>2714</v>
      </c>
      <c r="G334" s="88" t="b">
        <v>0</v>
      </c>
      <c r="H334" s="88" t="b">
        <v>0</v>
      </c>
      <c r="I334" s="88" t="b">
        <v>0</v>
      </c>
      <c r="J334" s="88" t="b">
        <v>0</v>
      </c>
      <c r="K334" s="88" t="b">
        <v>0</v>
      </c>
      <c r="L334" s="88" t="b">
        <v>0</v>
      </c>
    </row>
    <row r="335" spans="1:12" ht="15">
      <c r="A335" s="83" t="s">
        <v>2667</v>
      </c>
      <c r="B335" s="88" t="s">
        <v>1970</v>
      </c>
      <c r="C335" s="88">
        <v>2</v>
      </c>
      <c r="D335" s="110">
        <v>0.0011143972919833293</v>
      </c>
      <c r="E335" s="110">
        <v>1.6385540818643634</v>
      </c>
      <c r="F335" s="88" t="s">
        <v>2714</v>
      </c>
      <c r="G335" s="88" t="b">
        <v>0</v>
      </c>
      <c r="H335" s="88" t="b">
        <v>0</v>
      </c>
      <c r="I335" s="88" t="b">
        <v>0</v>
      </c>
      <c r="J335" s="88" t="b">
        <v>0</v>
      </c>
      <c r="K335" s="88" t="b">
        <v>0</v>
      </c>
      <c r="L335" s="88" t="b">
        <v>0</v>
      </c>
    </row>
    <row r="336" spans="1:12" ht="15">
      <c r="A336" s="83" t="s">
        <v>1965</v>
      </c>
      <c r="B336" s="88" t="s">
        <v>2668</v>
      </c>
      <c r="C336" s="88">
        <v>2</v>
      </c>
      <c r="D336" s="110">
        <v>0.0011143972919833293</v>
      </c>
      <c r="E336" s="110">
        <v>1.3102009589891472</v>
      </c>
      <c r="F336" s="88" t="s">
        <v>2714</v>
      </c>
      <c r="G336" s="88" t="b">
        <v>0</v>
      </c>
      <c r="H336" s="88" t="b">
        <v>0</v>
      </c>
      <c r="I336" s="88" t="b">
        <v>0</v>
      </c>
      <c r="J336" s="88" t="b">
        <v>0</v>
      </c>
      <c r="K336" s="88" t="b">
        <v>0</v>
      </c>
      <c r="L336" s="88" t="b">
        <v>0</v>
      </c>
    </row>
    <row r="337" spans="1:12" ht="15">
      <c r="A337" s="83" t="s">
        <v>2674</v>
      </c>
      <c r="B337" s="88" t="s">
        <v>2675</v>
      </c>
      <c r="C337" s="88">
        <v>2</v>
      </c>
      <c r="D337" s="110">
        <v>0.0011143972919833293</v>
      </c>
      <c r="E337" s="110">
        <v>3.224014811372864</v>
      </c>
      <c r="F337" s="88" t="s">
        <v>2714</v>
      </c>
      <c r="G337" s="88" t="b">
        <v>0</v>
      </c>
      <c r="H337" s="88" t="b">
        <v>0</v>
      </c>
      <c r="I337" s="88" t="b">
        <v>0</v>
      </c>
      <c r="J337" s="88" t="b">
        <v>0</v>
      </c>
      <c r="K337" s="88" t="b">
        <v>0</v>
      </c>
      <c r="L337" s="88" t="b">
        <v>0</v>
      </c>
    </row>
    <row r="338" spans="1:12" ht="15">
      <c r="A338" s="83" t="s">
        <v>2675</v>
      </c>
      <c r="B338" s="88" t="s">
        <v>2676</v>
      </c>
      <c r="C338" s="88">
        <v>2</v>
      </c>
      <c r="D338" s="110">
        <v>0.0011143972919833293</v>
      </c>
      <c r="E338" s="110">
        <v>3.224014811372864</v>
      </c>
      <c r="F338" s="88" t="s">
        <v>2714</v>
      </c>
      <c r="G338" s="88" t="b">
        <v>0</v>
      </c>
      <c r="H338" s="88" t="b">
        <v>0</v>
      </c>
      <c r="I338" s="88" t="b">
        <v>0</v>
      </c>
      <c r="J338" s="88" t="b">
        <v>0</v>
      </c>
      <c r="K338" s="88" t="b">
        <v>0</v>
      </c>
      <c r="L338" s="88" t="b">
        <v>0</v>
      </c>
    </row>
    <row r="339" spans="1:12" ht="15">
      <c r="A339" s="83" t="s">
        <v>2680</v>
      </c>
      <c r="B339" s="88" t="s">
        <v>1998</v>
      </c>
      <c r="C339" s="88">
        <v>2</v>
      </c>
      <c r="D339" s="110">
        <v>0.0011143972919833293</v>
      </c>
      <c r="E339" s="110">
        <v>2.8260748027008264</v>
      </c>
      <c r="F339" s="88" t="s">
        <v>2714</v>
      </c>
      <c r="G339" s="88" t="b">
        <v>0</v>
      </c>
      <c r="H339" s="88" t="b">
        <v>0</v>
      </c>
      <c r="I339" s="88" t="b">
        <v>0</v>
      </c>
      <c r="J339" s="88" t="b">
        <v>0</v>
      </c>
      <c r="K339" s="88" t="b">
        <v>1</v>
      </c>
      <c r="L339" s="88" t="b">
        <v>0</v>
      </c>
    </row>
    <row r="340" spans="1:12" ht="15">
      <c r="A340" s="83" t="s">
        <v>1998</v>
      </c>
      <c r="B340" s="88" t="s">
        <v>2681</v>
      </c>
      <c r="C340" s="88">
        <v>2</v>
      </c>
      <c r="D340" s="110">
        <v>0.0011143972919833293</v>
      </c>
      <c r="E340" s="110">
        <v>2.8260748027008264</v>
      </c>
      <c r="F340" s="88" t="s">
        <v>2714</v>
      </c>
      <c r="G340" s="88" t="b">
        <v>0</v>
      </c>
      <c r="H340" s="88" t="b">
        <v>1</v>
      </c>
      <c r="I340" s="88" t="b">
        <v>0</v>
      </c>
      <c r="J340" s="88" t="b">
        <v>0</v>
      </c>
      <c r="K340" s="88" t="b">
        <v>0</v>
      </c>
      <c r="L340" s="88" t="b">
        <v>0</v>
      </c>
    </row>
    <row r="341" spans="1:12" ht="15">
      <c r="A341" s="83" t="s">
        <v>2681</v>
      </c>
      <c r="B341" s="88" t="s">
        <v>2682</v>
      </c>
      <c r="C341" s="88">
        <v>2</v>
      </c>
      <c r="D341" s="110">
        <v>0.0011143972919833293</v>
      </c>
      <c r="E341" s="110">
        <v>3.224014811372864</v>
      </c>
      <c r="F341" s="88" t="s">
        <v>2714</v>
      </c>
      <c r="G341" s="88" t="b">
        <v>0</v>
      </c>
      <c r="H341" s="88" t="b">
        <v>0</v>
      </c>
      <c r="I341" s="88" t="b">
        <v>0</v>
      </c>
      <c r="J341" s="88" t="b">
        <v>0</v>
      </c>
      <c r="K341" s="88" t="b">
        <v>0</v>
      </c>
      <c r="L341" s="88" t="b">
        <v>0</v>
      </c>
    </row>
    <row r="342" spans="1:12" ht="15">
      <c r="A342" s="83" t="s">
        <v>2682</v>
      </c>
      <c r="B342" s="88" t="s">
        <v>2683</v>
      </c>
      <c r="C342" s="88">
        <v>2</v>
      </c>
      <c r="D342" s="110">
        <v>0.0011143972919833293</v>
      </c>
      <c r="E342" s="110">
        <v>3.224014811372864</v>
      </c>
      <c r="F342" s="88" t="s">
        <v>2714</v>
      </c>
      <c r="G342" s="88" t="b">
        <v>0</v>
      </c>
      <c r="H342" s="88" t="b">
        <v>0</v>
      </c>
      <c r="I342" s="88" t="b">
        <v>0</v>
      </c>
      <c r="J342" s="88" t="b">
        <v>0</v>
      </c>
      <c r="K342" s="88" t="b">
        <v>0</v>
      </c>
      <c r="L342" s="88" t="b">
        <v>0</v>
      </c>
    </row>
    <row r="343" spans="1:12" ht="15">
      <c r="A343" s="83" t="s">
        <v>2683</v>
      </c>
      <c r="B343" s="88" t="s">
        <v>1941</v>
      </c>
      <c r="C343" s="88">
        <v>2</v>
      </c>
      <c r="D343" s="110">
        <v>0.0011143972919833293</v>
      </c>
      <c r="E343" s="110">
        <v>2.746893556653202</v>
      </c>
      <c r="F343" s="88" t="s">
        <v>2714</v>
      </c>
      <c r="G343" s="88" t="b">
        <v>0</v>
      </c>
      <c r="H343" s="88" t="b">
        <v>0</v>
      </c>
      <c r="I343" s="88" t="b">
        <v>0</v>
      </c>
      <c r="J343" s="88" t="b">
        <v>0</v>
      </c>
      <c r="K343" s="88" t="b">
        <v>0</v>
      </c>
      <c r="L343" s="88" t="b">
        <v>0</v>
      </c>
    </row>
    <row r="344" spans="1:12" ht="15">
      <c r="A344" s="83" t="s">
        <v>1941</v>
      </c>
      <c r="B344" s="88" t="s">
        <v>2000</v>
      </c>
      <c r="C344" s="88">
        <v>2</v>
      </c>
      <c r="D344" s="110">
        <v>0.0011143972919833293</v>
      </c>
      <c r="E344" s="110">
        <v>2.5708022975975204</v>
      </c>
      <c r="F344" s="88" t="s">
        <v>2714</v>
      </c>
      <c r="G344" s="88" t="b">
        <v>0</v>
      </c>
      <c r="H344" s="88" t="b">
        <v>0</v>
      </c>
      <c r="I344" s="88" t="b">
        <v>0</v>
      </c>
      <c r="J344" s="88" t="b">
        <v>0</v>
      </c>
      <c r="K344" s="88" t="b">
        <v>0</v>
      </c>
      <c r="L344" s="88" t="b">
        <v>0</v>
      </c>
    </row>
    <row r="345" spans="1:12" ht="15">
      <c r="A345" s="83" t="s">
        <v>2000</v>
      </c>
      <c r="B345" s="88" t="s">
        <v>2684</v>
      </c>
      <c r="C345" s="88">
        <v>2</v>
      </c>
      <c r="D345" s="110">
        <v>0.0011143972919833293</v>
      </c>
      <c r="E345" s="110">
        <v>3.047923552317183</v>
      </c>
      <c r="F345" s="88" t="s">
        <v>2714</v>
      </c>
      <c r="G345" s="88" t="b">
        <v>0</v>
      </c>
      <c r="H345" s="88" t="b">
        <v>0</v>
      </c>
      <c r="I345" s="88" t="b">
        <v>0</v>
      </c>
      <c r="J345" s="88" t="b">
        <v>0</v>
      </c>
      <c r="K345" s="88" t="b">
        <v>0</v>
      </c>
      <c r="L345" s="88" t="b">
        <v>0</v>
      </c>
    </row>
    <row r="346" spans="1:12" ht="15">
      <c r="A346" s="83" t="s">
        <v>2684</v>
      </c>
      <c r="B346" s="88" t="s">
        <v>2506</v>
      </c>
      <c r="C346" s="88">
        <v>2</v>
      </c>
      <c r="D346" s="110">
        <v>0.0011143972919833293</v>
      </c>
      <c r="E346" s="110">
        <v>3.047923552317183</v>
      </c>
      <c r="F346" s="88" t="s">
        <v>2714</v>
      </c>
      <c r="G346" s="88" t="b">
        <v>0</v>
      </c>
      <c r="H346" s="88" t="b">
        <v>0</v>
      </c>
      <c r="I346" s="88" t="b">
        <v>0</v>
      </c>
      <c r="J346" s="88" t="b">
        <v>0</v>
      </c>
      <c r="K346" s="88" t="b">
        <v>0</v>
      </c>
      <c r="L346" s="88" t="b">
        <v>0</v>
      </c>
    </row>
    <row r="347" spans="1:12" ht="15">
      <c r="A347" s="83" t="s">
        <v>2506</v>
      </c>
      <c r="B347" s="88" t="s">
        <v>2685</v>
      </c>
      <c r="C347" s="88">
        <v>2</v>
      </c>
      <c r="D347" s="110">
        <v>0.0011143972919833293</v>
      </c>
      <c r="E347" s="110">
        <v>3.047923552317183</v>
      </c>
      <c r="F347" s="88" t="s">
        <v>2714</v>
      </c>
      <c r="G347" s="88" t="b">
        <v>0</v>
      </c>
      <c r="H347" s="88" t="b">
        <v>0</v>
      </c>
      <c r="I347" s="88" t="b">
        <v>0</v>
      </c>
      <c r="J347" s="88" t="b">
        <v>1</v>
      </c>
      <c r="K347" s="88" t="b">
        <v>0</v>
      </c>
      <c r="L347" s="88" t="b">
        <v>0</v>
      </c>
    </row>
    <row r="348" spans="1:12" ht="15">
      <c r="A348" s="83" t="s">
        <v>2685</v>
      </c>
      <c r="B348" s="88" t="s">
        <v>2456</v>
      </c>
      <c r="C348" s="88">
        <v>2</v>
      </c>
      <c r="D348" s="110">
        <v>0.0011143972919833293</v>
      </c>
      <c r="E348" s="110">
        <v>2.8260748027008264</v>
      </c>
      <c r="F348" s="88" t="s">
        <v>2714</v>
      </c>
      <c r="G348" s="88" t="b">
        <v>1</v>
      </c>
      <c r="H348" s="88" t="b">
        <v>0</v>
      </c>
      <c r="I348" s="88" t="b">
        <v>0</v>
      </c>
      <c r="J348" s="88" t="b">
        <v>0</v>
      </c>
      <c r="K348" s="88" t="b">
        <v>0</v>
      </c>
      <c r="L348" s="88" t="b">
        <v>0</v>
      </c>
    </row>
    <row r="349" spans="1:12" ht="15">
      <c r="A349" s="83" t="s">
        <v>2456</v>
      </c>
      <c r="B349" s="88" t="s">
        <v>2686</v>
      </c>
      <c r="C349" s="88">
        <v>2</v>
      </c>
      <c r="D349" s="110">
        <v>0.0011143972919833293</v>
      </c>
      <c r="E349" s="110">
        <v>2.8260748027008264</v>
      </c>
      <c r="F349" s="88" t="s">
        <v>2714</v>
      </c>
      <c r="G349" s="88" t="b">
        <v>0</v>
      </c>
      <c r="H349" s="88" t="b">
        <v>0</v>
      </c>
      <c r="I349" s="88" t="b">
        <v>0</v>
      </c>
      <c r="J349" s="88" t="b">
        <v>0</v>
      </c>
      <c r="K349" s="88" t="b">
        <v>0</v>
      </c>
      <c r="L349" s="88" t="b">
        <v>0</v>
      </c>
    </row>
    <row r="350" spans="1:12" ht="15">
      <c r="A350" s="83" t="s">
        <v>2686</v>
      </c>
      <c r="B350" s="88" t="s">
        <v>2687</v>
      </c>
      <c r="C350" s="88">
        <v>2</v>
      </c>
      <c r="D350" s="110">
        <v>0.0011143972919833293</v>
      </c>
      <c r="E350" s="110">
        <v>3.224014811372864</v>
      </c>
      <c r="F350" s="88" t="s">
        <v>2714</v>
      </c>
      <c r="G350" s="88" t="b">
        <v>0</v>
      </c>
      <c r="H350" s="88" t="b">
        <v>0</v>
      </c>
      <c r="I350" s="88" t="b">
        <v>0</v>
      </c>
      <c r="J350" s="88" t="b">
        <v>0</v>
      </c>
      <c r="K350" s="88" t="b">
        <v>0</v>
      </c>
      <c r="L350" s="88" t="b">
        <v>0</v>
      </c>
    </row>
    <row r="351" spans="1:12" ht="15">
      <c r="A351" s="83" t="s">
        <v>2687</v>
      </c>
      <c r="B351" s="88" t="s">
        <v>2688</v>
      </c>
      <c r="C351" s="88">
        <v>2</v>
      </c>
      <c r="D351" s="110">
        <v>0.0011143972919833293</v>
      </c>
      <c r="E351" s="110">
        <v>3.224014811372864</v>
      </c>
      <c r="F351" s="88" t="s">
        <v>2714</v>
      </c>
      <c r="G351" s="88" t="b">
        <v>0</v>
      </c>
      <c r="H351" s="88" t="b">
        <v>0</v>
      </c>
      <c r="I351" s="88" t="b">
        <v>0</v>
      </c>
      <c r="J351" s="88" t="b">
        <v>0</v>
      </c>
      <c r="K351" s="88" t="b">
        <v>0</v>
      </c>
      <c r="L351" s="88" t="b">
        <v>0</v>
      </c>
    </row>
    <row r="352" spans="1:12" ht="15">
      <c r="A352" s="83" t="s">
        <v>2688</v>
      </c>
      <c r="B352" s="88" t="s">
        <v>1999</v>
      </c>
      <c r="C352" s="88">
        <v>2</v>
      </c>
      <c r="D352" s="110">
        <v>0.0011143972919833293</v>
      </c>
      <c r="E352" s="110">
        <v>2.9229848157088827</v>
      </c>
      <c r="F352" s="88" t="s">
        <v>2714</v>
      </c>
      <c r="G352" s="88" t="b">
        <v>0</v>
      </c>
      <c r="H352" s="88" t="b">
        <v>0</v>
      </c>
      <c r="I352" s="88" t="b">
        <v>0</v>
      </c>
      <c r="J352" s="88" t="b">
        <v>0</v>
      </c>
      <c r="K352" s="88" t="b">
        <v>0</v>
      </c>
      <c r="L352" s="88" t="b">
        <v>0</v>
      </c>
    </row>
    <row r="353" spans="1:12" ht="15">
      <c r="A353" s="83" t="s">
        <v>1999</v>
      </c>
      <c r="B353" s="88" t="s">
        <v>1965</v>
      </c>
      <c r="C353" s="88">
        <v>2</v>
      </c>
      <c r="D353" s="110">
        <v>0.0011143972919833293</v>
      </c>
      <c r="E353" s="110">
        <v>1.0012983402252809</v>
      </c>
      <c r="F353" s="88" t="s">
        <v>2714</v>
      </c>
      <c r="G353" s="88" t="b">
        <v>0</v>
      </c>
      <c r="H353" s="88" t="b">
        <v>0</v>
      </c>
      <c r="I353" s="88" t="b">
        <v>0</v>
      </c>
      <c r="J353" s="88" t="b">
        <v>0</v>
      </c>
      <c r="K353" s="88" t="b">
        <v>0</v>
      </c>
      <c r="L353" s="88" t="b">
        <v>0</v>
      </c>
    </row>
    <row r="354" spans="1:12" ht="15">
      <c r="A354" s="83" t="s">
        <v>1997</v>
      </c>
      <c r="B354" s="88" t="s">
        <v>1998</v>
      </c>
      <c r="C354" s="88">
        <v>2</v>
      </c>
      <c r="D354" s="110">
        <v>0.0011143972919833293</v>
      </c>
      <c r="E354" s="110">
        <v>1.8966558769865338</v>
      </c>
      <c r="F354" s="88" t="s">
        <v>2714</v>
      </c>
      <c r="G354" s="88" t="b">
        <v>0</v>
      </c>
      <c r="H354" s="88" t="b">
        <v>0</v>
      </c>
      <c r="I354" s="88" t="b">
        <v>0</v>
      </c>
      <c r="J354" s="88" t="b">
        <v>0</v>
      </c>
      <c r="K354" s="88" t="b">
        <v>1</v>
      </c>
      <c r="L354" s="88" t="b">
        <v>0</v>
      </c>
    </row>
    <row r="355" spans="1:12" ht="15">
      <c r="A355" s="83" t="s">
        <v>1998</v>
      </c>
      <c r="B355" s="88" t="s">
        <v>2689</v>
      </c>
      <c r="C355" s="88">
        <v>2</v>
      </c>
      <c r="D355" s="110">
        <v>0.0011143972919833293</v>
      </c>
      <c r="E355" s="110">
        <v>2.8260748027008264</v>
      </c>
      <c r="F355" s="88" t="s">
        <v>2714</v>
      </c>
      <c r="G355" s="88" t="b">
        <v>0</v>
      </c>
      <c r="H355" s="88" t="b">
        <v>1</v>
      </c>
      <c r="I355" s="88" t="b">
        <v>0</v>
      </c>
      <c r="J355" s="88" t="b">
        <v>0</v>
      </c>
      <c r="K355" s="88" t="b">
        <v>0</v>
      </c>
      <c r="L355" s="88" t="b">
        <v>0</v>
      </c>
    </row>
    <row r="356" spans="1:12" ht="15">
      <c r="A356" s="83" t="s">
        <v>2689</v>
      </c>
      <c r="B356" s="88" t="s">
        <v>376</v>
      </c>
      <c r="C356" s="88">
        <v>2</v>
      </c>
      <c r="D356" s="110">
        <v>0.0011143972919833293</v>
      </c>
      <c r="E356" s="110">
        <v>3.047923552317183</v>
      </c>
      <c r="F356" s="88" t="s">
        <v>2714</v>
      </c>
      <c r="G356" s="88" t="b">
        <v>0</v>
      </c>
      <c r="H356" s="88" t="b">
        <v>0</v>
      </c>
      <c r="I356" s="88" t="b">
        <v>0</v>
      </c>
      <c r="J356" s="88" t="b">
        <v>0</v>
      </c>
      <c r="K356" s="88" t="b">
        <v>0</v>
      </c>
      <c r="L356" s="88" t="b">
        <v>0</v>
      </c>
    </row>
    <row r="357" spans="1:12" ht="15">
      <c r="A357" s="83" t="s">
        <v>376</v>
      </c>
      <c r="B357" s="88" t="s">
        <v>2690</v>
      </c>
      <c r="C357" s="88">
        <v>2</v>
      </c>
      <c r="D357" s="110">
        <v>0.0011143972919833293</v>
      </c>
      <c r="E357" s="110">
        <v>3.047923552317183</v>
      </c>
      <c r="F357" s="88" t="s">
        <v>2714</v>
      </c>
      <c r="G357" s="88" t="b">
        <v>0</v>
      </c>
      <c r="H357" s="88" t="b">
        <v>0</v>
      </c>
      <c r="I357" s="88" t="b">
        <v>0</v>
      </c>
      <c r="J357" s="88" t="b">
        <v>0</v>
      </c>
      <c r="K357" s="88" t="b">
        <v>0</v>
      </c>
      <c r="L357" s="88" t="b">
        <v>0</v>
      </c>
    </row>
    <row r="358" spans="1:12" ht="15">
      <c r="A358" s="83" t="s">
        <v>2690</v>
      </c>
      <c r="B358" s="88" t="s">
        <v>2464</v>
      </c>
      <c r="C358" s="88">
        <v>2</v>
      </c>
      <c r="D358" s="110">
        <v>0.0011143972919833293</v>
      </c>
      <c r="E358" s="110">
        <v>2.8260748027008264</v>
      </c>
      <c r="F358" s="88" t="s">
        <v>2714</v>
      </c>
      <c r="G358" s="88" t="b">
        <v>0</v>
      </c>
      <c r="H358" s="88" t="b">
        <v>0</v>
      </c>
      <c r="I358" s="88" t="b">
        <v>0</v>
      </c>
      <c r="J358" s="88" t="b">
        <v>0</v>
      </c>
      <c r="K358" s="88" t="b">
        <v>0</v>
      </c>
      <c r="L358" s="88" t="b">
        <v>0</v>
      </c>
    </row>
    <row r="359" spans="1:12" ht="15">
      <c r="A359" s="83" t="s">
        <v>1944</v>
      </c>
      <c r="B359" s="88" t="s">
        <v>1970</v>
      </c>
      <c r="C359" s="88">
        <v>2</v>
      </c>
      <c r="D359" s="110">
        <v>0.0011143972919833293</v>
      </c>
      <c r="E359" s="110">
        <v>-0.343717151175205</v>
      </c>
      <c r="F359" s="88" t="s">
        <v>2714</v>
      </c>
      <c r="G359" s="88" t="b">
        <v>0</v>
      </c>
      <c r="H359" s="88" t="b">
        <v>0</v>
      </c>
      <c r="I359" s="88" t="b">
        <v>0</v>
      </c>
      <c r="J359" s="88" t="b">
        <v>0</v>
      </c>
      <c r="K359" s="88" t="b">
        <v>0</v>
      </c>
      <c r="L359" s="88" t="b">
        <v>0</v>
      </c>
    </row>
    <row r="360" spans="1:12" ht="15">
      <c r="A360" s="83" t="s">
        <v>2002</v>
      </c>
      <c r="B360" s="88" t="s">
        <v>2004</v>
      </c>
      <c r="C360" s="88">
        <v>2</v>
      </c>
      <c r="D360" s="110">
        <v>0.0011143972919833293</v>
      </c>
      <c r="E360" s="110">
        <v>2.746893556653202</v>
      </c>
      <c r="F360" s="88" t="s">
        <v>2714</v>
      </c>
      <c r="G360" s="88" t="b">
        <v>0</v>
      </c>
      <c r="H360" s="88" t="b">
        <v>0</v>
      </c>
      <c r="I360" s="88" t="b">
        <v>0</v>
      </c>
      <c r="J360" s="88" t="b">
        <v>0</v>
      </c>
      <c r="K360" s="88" t="b">
        <v>0</v>
      </c>
      <c r="L360" s="88" t="b">
        <v>0</v>
      </c>
    </row>
    <row r="361" spans="1:12" ht="15">
      <c r="A361" s="83" t="s">
        <v>2004</v>
      </c>
      <c r="B361" s="88" t="s">
        <v>2005</v>
      </c>
      <c r="C361" s="88">
        <v>2</v>
      </c>
      <c r="D361" s="110">
        <v>0.0011143972919833293</v>
      </c>
      <c r="E361" s="110">
        <v>3.047923552317183</v>
      </c>
      <c r="F361" s="88" t="s">
        <v>2714</v>
      </c>
      <c r="G361" s="88" t="b">
        <v>0</v>
      </c>
      <c r="H361" s="88" t="b">
        <v>0</v>
      </c>
      <c r="I361" s="88" t="b">
        <v>0</v>
      </c>
      <c r="J361" s="88" t="b">
        <v>0</v>
      </c>
      <c r="K361" s="88" t="b">
        <v>0</v>
      </c>
      <c r="L361" s="88" t="b">
        <v>0</v>
      </c>
    </row>
    <row r="362" spans="1:12" ht="15">
      <c r="A362" s="83" t="s">
        <v>2005</v>
      </c>
      <c r="B362" s="88" t="s">
        <v>2006</v>
      </c>
      <c r="C362" s="88">
        <v>2</v>
      </c>
      <c r="D362" s="110">
        <v>0.0011143972919833293</v>
      </c>
      <c r="E362" s="110">
        <v>2.9229848157088827</v>
      </c>
      <c r="F362" s="88" t="s">
        <v>2714</v>
      </c>
      <c r="G362" s="88" t="b">
        <v>0</v>
      </c>
      <c r="H362" s="88" t="b">
        <v>0</v>
      </c>
      <c r="I362" s="88" t="b">
        <v>0</v>
      </c>
      <c r="J362" s="88" t="b">
        <v>0</v>
      </c>
      <c r="K362" s="88" t="b">
        <v>0</v>
      </c>
      <c r="L362" s="88" t="b">
        <v>0</v>
      </c>
    </row>
    <row r="363" spans="1:12" ht="15">
      <c r="A363" s="83" t="s">
        <v>2006</v>
      </c>
      <c r="B363" s="88" t="s">
        <v>2003</v>
      </c>
      <c r="C363" s="88">
        <v>2</v>
      </c>
      <c r="D363" s="110">
        <v>0.0011143972919833293</v>
      </c>
      <c r="E363" s="110">
        <v>2.1448335653252393</v>
      </c>
      <c r="F363" s="88" t="s">
        <v>2714</v>
      </c>
      <c r="G363" s="88" t="b">
        <v>0</v>
      </c>
      <c r="H363" s="88" t="b">
        <v>0</v>
      </c>
      <c r="I363" s="88" t="b">
        <v>0</v>
      </c>
      <c r="J363" s="88" t="b">
        <v>0</v>
      </c>
      <c r="K363" s="88" t="b">
        <v>0</v>
      </c>
      <c r="L363" s="88" t="b">
        <v>0</v>
      </c>
    </row>
    <row r="364" spans="1:12" ht="15">
      <c r="A364" s="83" t="s">
        <v>2003</v>
      </c>
      <c r="B364" s="88" t="s">
        <v>2003</v>
      </c>
      <c r="C364" s="88">
        <v>2</v>
      </c>
      <c r="D364" s="110">
        <v>0.0011143972919833293</v>
      </c>
      <c r="E364" s="110">
        <v>1.7926510472138768</v>
      </c>
      <c r="F364" s="88" t="s">
        <v>2714</v>
      </c>
      <c r="G364" s="88" t="b">
        <v>0</v>
      </c>
      <c r="H364" s="88" t="b">
        <v>0</v>
      </c>
      <c r="I364" s="88" t="b">
        <v>0</v>
      </c>
      <c r="J364" s="88" t="b">
        <v>0</v>
      </c>
      <c r="K364" s="88" t="b">
        <v>0</v>
      </c>
      <c r="L364" s="88" t="b">
        <v>0</v>
      </c>
    </row>
    <row r="365" spans="1:12" ht="15">
      <c r="A365" s="83" t="s">
        <v>2003</v>
      </c>
      <c r="B365" s="88" t="s">
        <v>2002</v>
      </c>
      <c r="C365" s="88">
        <v>2</v>
      </c>
      <c r="D365" s="110">
        <v>0.0011143972919833293</v>
      </c>
      <c r="E365" s="110">
        <v>2.5708022975975204</v>
      </c>
      <c r="F365" s="88" t="s">
        <v>2714</v>
      </c>
      <c r="G365" s="88" t="b">
        <v>0</v>
      </c>
      <c r="H365" s="88" t="b">
        <v>0</v>
      </c>
      <c r="I365" s="88" t="b">
        <v>0</v>
      </c>
      <c r="J365" s="88" t="b">
        <v>0</v>
      </c>
      <c r="K365" s="88" t="b">
        <v>0</v>
      </c>
      <c r="L365" s="88" t="b">
        <v>0</v>
      </c>
    </row>
    <row r="366" spans="1:12" ht="15">
      <c r="A366" s="83" t="s">
        <v>2002</v>
      </c>
      <c r="B366" s="88" t="s">
        <v>2007</v>
      </c>
      <c r="C366" s="88">
        <v>2</v>
      </c>
      <c r="D366" s="110">
        <v>0.0011143972919833293</v>
      </c>
      <c r="E366" s="110">
        <v>2.9229848157088827</v>
      </c>
      <c r="F366" s="88" t="s">
        <v>2714</v>
      </c>
      <c r="G366" s="88" t="b">
        <v>0</v>
      </c>
      <c r="H366" s="88" t="b">
        <v>0</v>
      </c>
      <c r="I366" s="88" t="b">
        <v>0</v>
      </c>
      <c r="J366" s="88" t="b">
        <v>0</v>
      </c>
      <c r="K366" s="88" t="b">
        <v>0</v>
      </c>
      <c r="L366" s="88" t="b">
        <v>0</v>
      </c>
    </row>
    <row r="367" spans="1:12" ht="15">
      <c r="A367" s="83" t="s">
        <v>2007</v>
      </c>
      <c r="B367" s="88" t="s">
        <v>2008</v>
      </c>
      <c r="C367" s="88">
        <v>2</v>
      </c>
      <c r="D367" s="110">
        <v>0.0011143972919833293</v>
      </c>
      <c r="E367" s="110">
        <v>3.047923552317183</v>
      </c>
      <c r="F367" s="88" t="s">
        <v>2714</v>
      </c>
      <c r="G367" s="88" t="b">
        <v>0</v>
      </c>
      <c r="H367" s="88" t="b">
        <v>0</v>
      </c>
      <c r="I367" s="88" t="b">
        <v>0</v>
      </c>
      <c r="J367" s="88" t="b">
        <v>0</v>
      </c>
      <c r="K367" s="88" t="b">
        <v>0</v>
      </c>
      <c r="L367" s="88" t="b">
        <v>0</v>
      </c>
    </row>
    <row r="368" spans="1:12" ht="15">
      <c r="A368" s="83" t="s">
        <v>2008</v>
      </c>
      <c r="B368" s="88" t="s">
        <v>2009</v>
      </c>
      <c r="C368" s="88">
        <v>2</v>
      </c>
      <c r="D368" s="110">
        <v>0.0011143972919833293</v>
      </c>
      <c r="E368" s="110">
        <v>3.047923552317183</v>
      </c>
      <c r="F368" s="88" t="s">
        <v>2714</v>
      </c>
      <c r="G368" s="88" t="b">
        <v>0</v>
      </c>
      <c r="H368" s="88" t="b">
        <v>0</v>
      </c>
      <c r="I368" s="88" t="b">
        <v>0</v>
      </c>
      <c r="J368" s="88" t="b">
        <v>0</v>
      </c>
      <c r="K368" s="88" t="b">
        <v>0</v>
      </c>
      <c r="L368" s="88" t="b">
        <v>0</v>
      </c>
    </row>
    <row r="369" spans="1:12" ht="15">
      <c r="A369" s="83" t="s">
        <v>2009</v>
      </c>
      <c r="B369" s="88" t="s">
        <v>2543</v>
      </c>
      <c r="C369" s="88">
        <v>2</v>
      </c>
      <c r="D369" s="110">
        <v>0.0011143972919833293</v>
      </c>
      <c r="E369" s="110">
        <v>3.047923552317183</v>
      </c>
      <c r="F369" s="88" t="s">
        <v>2714</v>
      </c>
      <c r="G369" s="88" t="b">
        <v>0</v>
      </c>
      <c r="H369" s="88" t="b">
        <v>0</v>
      </c>
      <c r="I369" s="88" t="b">
        <v>0</v>
      </c>
      <c r="J369" s="88" t="b">
        <v>0</v>
      </c>
      <c r="K369" s="88" t="b">
        <v>0</v>
      </c>
      <c r="L369" s="88" t="b">
        <v>0</v>
      </c>
    </row>
    <row r="370" spans="1:12" ht="15">
      <c r="A370" s="83" t="s">
        <v>2543</v>
      </c>
      <c r="B370" s="88" t="s">
        <v>372</v>
      </c>
      <c r="C370" s="88">
        <v>2</v>
      </c>
      <c r="D370" s="110">
        <v>0.0011143972919833293</v>
      </c>
      <c r="E370" s="110">
        <v>3.047923552317183</v>
      </c>
      <c r="F370" s="88" t="s">
        <v>2714</v>
      </c>
      <c r="G370" s="88" t="b">
        <v>0</v>
      </c>
      <c r="H370" s="88" t="b">
        <v>0</v>
      </c>
      <c r="I370" s="88" t="b">
        <v>0</v>
      </c>
      <c r="J370" s="88" t="b">
        <v>0</v>
      </c>
      <c r="K370" s="88" t="b">
        <v>0</v>
      </c>
      <c r="L370" s="88" t="b">
        <v>0</v>
      </c>
    </row>
    <row r="371" spans="1:12" ht="15">
      <c r="A371" s="83" t="s">
        <v>372</v>
      </c>
      <c r="B371" s="88" t="s">
        <v>2692</v>
      </c>
      <c r="C371" s="88">
        <v>2</v>
      </c>
      <c r="D371" s="110">
        <v>0.0011143972919833293</v>
      </c>
      <c r="E371" s="110">
        <v>3.224014811372864</v>
      </c>
      <c r="F371" s="88" t="s">
        <v>2714</v>
      </c>
      <c r="G371" s="88" t="b">
        <v>0</v>
      </c>
      <c r="H371" s="88" t="b">
        <v>0</v>
      </c>
      <c r="I371" s="88" t="b">
        <v>0</v>
      </c>
      <c r="J371" s="88" t="b">
        <v>0</v>
      </c>
      <c r="K371" s="88" t="b">
        <v>0</v>
      </c>
      <c r="L371" s="88" t="b">
        <v>0</v>
      </c>
    </row>
    <row r="372" spans="1:12" ht="15">
      <c r="A372" s="83" t="s">
        <v>2692</v>
      </c>
      <c r="B372" s="88" t="s">
        <v>2495</v>
      </c>
      <c r="C372" s="88">
        <v>2</v>
      </c>
      <c r="D372" s="110">
        <v>0.0011143972919833293</v>
      </c>
      <c r="E372" s="110">
        <v>2.9229848157088827</v>
      </c>
      <c r="F372" s="88" t="s">
        <v>2714</v>
      </c>
      <c r="G372" s="88" t="b">
        <v>0</v>
      </c>
      <c r="H372" s="88" t="b">
        <v>0</v>
      </c>
      <c r="I372" s="88" t="b">
        <v>0</v>
      </c>
      <c r="J372" s="88" t="b">
        <v>0</v>
      </c>
      <c r="K372" s="88" t="b">
        <v>0</v>
      </c>
      <c r="L372" s="88" t="b">
        <v>0</v>
      </c>
    </row>
    <row r="373" spans="1:12" ht="15">
      <c r="A373" s="83" t="s">
        <v>2495</v>
      </c>
      <c r="B373" s="88" t="s">
        <v>2472</v>
      </c>
      <c r="C373" s="88">
        <v>2</v>
      </c>
      <c r="D373" s="110">
        <v>0.0011143972919833293</v>
      </c>
      <c r="E373" s="110">
        <v>2.6219548200449014</v>
      </c>
      <c r="F373" s="88" t="s">
        <v>2714</v>
      </c>
      <c r="G373" s="88" t="b">
        <v>0</v>
      </c>
      <c r="H373" s="88" t="b">
        <v>0</v>
      </c>
      <c r="I373" s="88" t="b">
        <v>0</v>
      </c>
      <c r="J373" s="88" t="b">
        <v>0</v>
      </c>
      <c r="K373" s="88" t="b">
        <v>0</v>
      </c>
      <c r="L373" s="88" t="b">
        <v>0</v>
      </c>
    </row>
    <row r="374" spans="1:12" ht="15">
      <c r="A374" s="83" t="s">
        <v>2472</v>
      </c>
      <c r="B374" s="88" t="s">
        <v>2693</v>
      </c>
      <c r="C374" s="88">
        <v>2</v>
      </c>
      <c r="D374" s="110">
        <v>0.0011143972919833293</v>
      </c>
      <c r="E374" s="110">
        <v>2.9229848157088827</v>
      </c>
      <c r="F374" s="88" t="s">
        <v>2714</v>
      </c>
      <c r="G374" s="88" t="b">
        <v>0</v>
      </c>
      <c r="H374" s="88" t="b">
        <v>0</v>
      </c>
      <c r="I374" s="88" t="b">
        <v>0</v>
      </c>
      <c r="J374" s="88" t="b">
        <v>0</v>
      </c>
      <c r="K374" s="88" t="b">
        <v>0</v>
      </c>
      <c r="L374" s="88" t="b">
        <v>0</v>
      </c>
    </row>
    <row r="375" spans="1:12" ht="15">
      <c r="A375" s="83" t="s">
        <v>2693</v>
      </c>
      <c r="B375" s="88" t="s">
        <v>2442</v>
      </c>
      <c r="C375" s="88">
        <v>2</v>
      </c>
      <c r="D375" s="110">
        <v>0.0011143972919833293</v>
      </c>
      <c r="E375" s="110">
        <v>2.6799467670225883</v>
      </c>
      <c r="F375" s="88" t="s">
        <v>2714</v>
      </c>
      <c r="G375" s="88" t="b">
        <v>0</v>
      </c>
      <c r="H375" s="88" t="b">
        <v>0</v>
      </c>
      <c r="I375" s="88" t="b">
        <v>0</v>
      </c>
      <c r="J375" s="88" t="b">
        <v>0</v>
      </c>
      <c r="K375" s="88" t="b">
        <v>0</v>
      </c>
      <c r="L375" s="88" t="b">
        <v>0</v>
      </c>
    </row>
    <row r="376" spans="1:12" ht="15">
      <c r="A376" s="83" t="s">
        <v>2442</v>
      </c>
      <c r="B376" s="88" t="s">
        <v>1964</v>
      </c>
      <c r="C376" s="88">
        <v>2</v>
      </c>
      <c r="D376" s="110">
        <v>0.0011143972919833293</v>
      </c>
      <c r="E376" s="110">
        <v>0.7714617481439388</v>
      </c>
      <c r="F376" s="88" t="s">
        <v>2714</v>
      </c>
      <c r="G376" s="88" t="b">
        <v>0</v>
      </c>
      <c r="H376" s="88" t="b">
        <v>0</v>
      </c>
      <c r="I376" s="88" t="b">
        <v>0</v>
      </c>
      <c r="J376" s="88" t="b">
        <v>0</v>
      </c>
      <c r="K376" s="88" t="b">
        <v>0</v>
      </c>
      <c r="L376" s="88" t="b">
        <v>0</v>
      </c>
    </row>
    <row r="377" spans="1:12" ht="15">
      <c r="A377" s="83" t="s">
        <v>2499</v>
      </c>
      <c r="B377" s="88" t="s">
        <v>250</v>
      </c>
      <c r="C377" s="88">
        <v>2</v>
      </c>
      <c r="D377" s="110">
        <v>0.0011143972919833293</v>
      </c>
      <c r="E377" s="110">
        <v>2.9229848157088827</v>
      </c>
      <c r="F377" s="88" t="s">
        <v>2714</v>
      </c>
      <c r="G377" s="88" t="b">
        <v>0</v>
      </c>
      <c r="H377" s="88" t="b">
        <v>0</v>
      </c>
      <c r="I377" s="88" t="b">
        <v>0</v>
      </c>
      <c r="J377" s="88" t="b">
        <v>0</v>
      </c>
      <c r="K377" s="88" t="b">
        <v>0</v>
      </c>
      <c r="L377" s="88" t="b">
        <v>0</v>
      </c>
    </row>
    <row r="378" spans="1:12" ht="15">
      <c r="A378" s="83" t="s">
        <v>250</v>
      </c>
      <c r="B378" s="88" t="s">
        <v>373</v>
      </c>
      <c r="C378" s="88">
        <v>2</v>
      </c>
      <c r="D378" s="110">
        <v>0.0011143972919833293</v>
      </c>
      <c r="E378" s="110">
        <v>3.047923552317183</v>
      </c>
      <c r="F378" s="88" t="s">
        <v>2714</v>
      </c>
      <c r="G378" s="88" t="b">
        <v>0</v>
      </c>
      <c r="H378" s="88" t="b">
        <v>0</v>
      </c>
      <c r="I378" s="88" t="b">
        <v>0</v>
      </c>
      <c r="J378" s="88" t="b">
        <v>0</v>
      </c>
      <c r="K378" s="88" t="b">
        <v>0</v>
      </c>
      <c r="L378" s="88" t="b">
        <v>0</v>
      </c>
    </row>
    <row r="379" spans="1:12" ht="15">
      <c r="A379" s="83" t="s">
        <v>2473</v>
      </c>
      <c r="B379" s="88" t="s">
        <v>2695</v>
      </c>
      <c r="C379" s="88">
        <v>2</v>
      </c>
      <c r="D379" s="110">
        <v>0.0012846149881461685</v>
      </c>
      <c r="E379" s="110">
        <v>2.9229848157088827</v>
      </c>
      <c r="F379" s="88" t="s">
        <v>2714</v>
      </c>
      <c r="G379" s="88" t="b">
        <v>0</v>
      </c>
      <c r="H379" s="88" t="b">
        <v>0</v>
      </c>
      <c r="I379" s="88" t="b">
        <v>0</v>
      </c>
      <c r="J379" s="88" t="b">
        <v>0</v>
      </c>
      <c r="K379" s="88" t="b">
        <v>0</v>
      </c>
      <c r="L379" s="88" t="b">
        <v>0</v>
      </c>
    </row>
    <row r="380" spans="1:12" ht="15">
      <c r="A380" s="83" t="s">
        <v>2563</v>
      </c>
      <c r="B380" s="88" t="s">
        <v>2435</v>
      </c>
      <c r="C380" s="88">
        <v>2</v>
      </c>
      <c r="D380" s="110">
        <v>0.0011143972919833293</v>
      </c>
      <c r="E380" s="110">
        <v>2.348953547981164</v>
      </c>
      <c r="F380" s="88" t="s">
        <v>2714</v>
      </c>
      <c r="G380" s="88" t="b">
        <v>0</v>
      </c>
      <c r="H380" s="88" t="b">
        <v>0</v>
      </c>
      <c r="I380" s="88" t="b">
        <v>0</v>
      </c>
      <c r="J380" s="88" t="b">
        <v>0</v>
      </c>
      <c r="K380" s="88" t="b">
        <v>0</v>
      </c>
      <c r="L380" s="88" t="b">
        <v>0</v>
      </c>
    </row>
    <row r="381" spans="1:12" ht="15">
      <c r="A381" s="83" t="s">
        <v>2435</v>
      </c>
      <c r="B381" s="88" t="s">
        <v>2697</v>
      </c>
      <c r="C381" s="88">
        <v>2</v>
      </c>
      <c r="D381" s="110">
        <v>0.0011143972919833293</v>
      </c>
      <c r="E381" s="110">
        <v>2.525044807036845</v>
      </c>
      <c r="F381" s="88" t="s">
        <v>2714</v>
      </c>
      <c r="G381" s="88" t="b">
        <v>0</v>
      </c>
      <c r="H381" s="88" t="b">
        <v>0</v>
      </c>
      <c r="I381" s="88" t="b">
        <v>0</v>
      </c>
      <c r="J381" s="88" t="b">
        <v>0</v>
      </c>
      <c r="K381" s="88" t="b">
        <v>0</v>
      </c>
      <c r="L381" s="88" t="b">
        <v>0</v>
      </c>
    </row>
    <row r="382" spans="1:12" ht="15">
      <c r="A382" s="83" t="s">
        <v>2697</v>
      </c>
      <c r="B382" s="88" t="s">
        <v>1944</v>
      </c>
      <c r="C382" s="88">
        <v>2</v>
      </c>
      <c r="D382" s="110">
        <v>0.0011143972919833293</v>
      </c>
      <c r="E382" s="110">
        <v>1.2261917306271386</v>
      </c>
      <c r="F382" s="88" t="s">
        <v>2714</v>
      </c>
      <c r="G382" s="88" t="b">
        <v>0</v>
      </c>
      <c r="H382" s="88" t="b">
        <v>0</v>
      </c>
      <c r="I382" s="88" t="b">
        <v>0</v>
      </c>
      <c r="J382" s="88" t="b">
        <v>0</v>
      </c>
      <c r="K382" s="88" t="b">
        <v>0</v>
      </c>
      <c r="L382" s="88" t="b">
        <v>0</v>
      </c>
    </row>
    <row r="383" spans="1:12" ht="15">
      <c r="A383" s="83" t="s">
        <v>1944</v>
      </c>
      <c r="B383" s="88" t="s">
        <v>2436</v>
      </c>
      <c r="C383" s="88">
        <v>2</v>
      </c>
      <c r="D383" s="110">
        <v>0.0011143972919833293</v>
      </c>
      <c r="E383" s="110">
        <v>0.6396835870053332</v>
      </c>
      <c r="F383" s="88" t="s">
        <v>2714</v>
      </c>
      <c r="G383" s="88" t="b">
        <v>0</v>
      </c>
      <c r="H383" s="88" t="b">
        <v>0</v>
      </c>
      <c r="I383" s="88" t="b">
        <v>0</v>
      </c>
      <c r="J383" s="88" t="b">
        <v>0</v>
      </c>
      <c r="K383" s="88" t="b">
        <v>0</v>
      </c>
      <c r="L383" s="88" t="b">
        <v>0</v>
      </c>
    </row>
    <row r="384" spans="1:12" ht="15">
      <c r="A384" s="83" t="s">
        <v>2436</v>
      </c>
      <c r="B384" s="88" t="s">
        <v>1997</v>
      </c>
      <c r="C384" s="88">
        <v>2</v>
      </c>
      <c r="D384" s="110">
        <v>0.0011143972919833293</v>
      </c>
      <c r="E384" s="110">
        <v>1.692535894330609</v>
      </c>
      <c r="F384" s="88" t="s">
        <v>2714</v>
      </c>
      <c r="G384" s="88" t="b">
        <v>0</v>
      </c>
      <c r="H384" s="88" t="b">
        <v>0</v>
      </c>
      <c r="I384" s="88" t="b">
        <v>0</v>
      </c>
      <c r="J384" s="88" t="b">
        <v>0</v>
      </c>
      <c r="K384" s="88" t="b">
        <v>0</v>
      </c>
      <c r="L384" s="88" t="b">
        <v>0</v>
      </c>
    </row>
    <row r="385" spans="1:12" ht="15">
      <c r="A385" s="83" t="s">
        <v>1944</v>
      </c>
      <c r="B385" s="88" t="s">
        <v>2698</v>
      </c>
      <c r="C385" s="88">
        <v>2</v>
      </c>
      <c r="D385" s="110">
        <v>0.0011143972919833293</v>
      </c>
      <c r="E385" s="110">
        <v>1.2417435783332957</v>
      </c>
      <c r="F385" s="88" t="s">
        <v>2714</v>
      </c>
      <c r="G385" s="88" t="b">
        <v>0</v>
      </c>
      <c r="H385" s="88" t="b">
        <v>0</v>
      </c>
      <c r="I385" s="88" t="b">
        <v>0</v>
      </c>
      <c r="J385" s="88" t="b">
        <v>0</v>
      </c>
      <c r="K385" s="88" t="b">
        <v>0</v>
      </c>
      <c r="L385" s="88" t="b">
        <v>0</v>
      </c>
    </row>
    <row r="386" spans="1:12" ht="15">
      <c r="A386" s="83" t="s">
        <v>2698</v>
      </c>
      <c r="B386" s="88" t="s">
        <v>2502</v>
      </c>
      <c r="C386" s="88">
        <v>2</v>
      </c>
      <c r="D386" s="110">
        <v>0.0011143972919833293</v>
      </c>
      <c r="E386" s="110">
        <v>3.047923552317183</v>
      </c>
      <c r="F386" s="88" t="s">
        <v>2714</v>
      </c>
      <c r="G386" s="88" t="b">
        <v>0</v>
      </c>
      <c r="H386" s="88" t="b">
        <v>0</v>
      </c>
      <c r="I386" s="88" t="b">
        <v>0</v>
      </c>
      <c r="J386" s="88" t="b">
        <v>0</v>
      </c>
      <c r="K386" s="88" t="b">
        <v>0</v>
      </c>
      <c r="L386" s="88" t="b">
        <v>0</v>
      </c>
    </row>
    <row r="387" spans="1:12" ht="15">
      <c r="A387" s="83" t="s">
        <v>2502</v>
      </c>
      <c r="B387" s="88" t="s">
        <v>2565</v>
      </c>
      <c r="C387" s="88">
        <v>2</v>
      </c>
      <c r="D387" s="110">
        <v>0.0011143972919833293</v>
      </c>
      <c r="E387" s="110">
        <v>2.746893556653202</v>
      </c>
      <c r="F387" s="88" t="s">
        <v>2714</v>
      </c>
      <c r="G387" s="88" t="b">
        <v>0</v>
      </c>
      <c r="H387" s="88" t="b">
        <v>0</v>
      </c>
      <c r="I387" s="88" t="b">
        <v>0</v>
      </c>
      <c r="J387" s="88" t="b">
        <v>0</v>
      </c>
      <c r="K387" s="88" t="b">
        <v>0</v>
      </c>
      <c r="L387" s="88" t="b">
        <v>0</v>
      </c>
    </row>
    <row r="388" spans="1:12" ht="15">
      <c r="A388" s="83" t="s">
        <v>2565</v>
      </c>
      <c r="B388" s="88" t="s">
        <v>2564</v>
      </c>
      <c r="C388" s="88">
        <v>2</v>
      </c>
      <c r="D388" s="110">
        <v>0.0011143972919833293</v>
      </c>
      <c r="E388" s="110">
        <v>2.8718322932615017</v>
      </c>
      <c r="F388" s="88" t="s">
        <v>2714</v>
      </c>
      <c r="G388" s="88" t="b">
        <v>0</v>
      </c>
      <c r="H388" s="88" t="b">
        <v>0</v>
      </c>
      <c r="I388" s="88" t="b">
        <v>0</v>
      </c>
      <c r="J388" s="88" t="b">
        <v>0</v>
      </c>
      <c r="K388" s="88" t="b">
        <v>0</v>
      </c>
      <c r="L388" s="88" t="b">
        <v>0</v>
      </c>
    </row>
    <row r="389" spans="1:12" ht="15">
      <c r="A389" s="83" t="s">
        <v>2564</v>
      </c>
      <c r="B389" s="88" t="s">
        <v>2699</v>
      </c>
      <c r="C389" s="88">
        <v>2</v>
      </c>
      <c r="D389" s="110">
        <v>0.0011143972919833293</v>
      </c>
      <c r="E389" s="110">
        <v>3.047923552317183</v>
      </c>
      <c r="F389" s="88" t="s">
        <v>2714</v>
      </c>
      <c r="G389" s="88" t="b">
        <v>0</v>
      </c>
      <c r="H389" s="88" t="b">
        <v>0</v>
      </c>
      <c r="I389" s="88" t="b">
        <v>0</v>
      </c>
      <c r="J389" s="88" t="b">
        <v>0</v>
      </c>
      <c r="K389" s="88" t="b">
        <v>0</v>
      </c>
      <c r="L389" s="88" t="b">
        <v>0</v>
      </c>
    </row>
    <row r="390" spans="1:12" ht="15">
      <c r="A390" s="83" t="s">
        <v>2699</v>
      </c>
      <c r="B390" s="88" t="s">
        <v>258</v>
      </c>
      <c r="C390" s="88">
        <v>2</v>
      </c>
      <c r="D390" s="110">
        <v>0.0011143972919833293</v>
      </c>
      <c r="E390" s="110">
        <v>2.9229848157088827</v>
      </c>
      <c r="F390" s="88" t="s">
        <v>2714</v>
      </c>
      <c r="G390" s="88" t="b">
        <v>0</v>
      </c>
      <c r="H390" s="88" t="b">
        <v>0</v>
      </c>
      <c r="I390" s="88" t="b">
        <v>0</v>
      </c>
      <c r="J390" s="88" t="b">
        <v>0</v>
      </c>
      <c r="K390" s="88" t="b">
        <v>0</v>
      </c>
      <c r="L390" s="88" t="b">
        <v>0</v>
      </c>
    </row>
    <row r="391" spans="1:12" ht="15">
      <c r="A391" s="83" t="s">
        <v>2700</v>
      </c>
      <c r="B391" s="88" t="s">
        <v>1967</v>
      </c>
      <c r="C391" s="88">
        <v>2</v>
      </c>
      <c r="D391" s="110">
        <v>0.0011143972919833293</v>
      </c>
      <c r="E391" s="110">
        <v>1.5660034147157518</v>
      </c>
      <c r="F391" s="88" t="s">
        <v>2714</v>
      </c>
      <c r="G391" s="88" t="b">
        <v>0</v>
      </c>
      <c r="H391" s="88" t="b">
        <v>0</v>
      </c>
      <c r="I391" s="88" t="b">
        <v>0</v>
      </c>
      <c r="J391" s="88" t="b">
        <v>0</v>
      </c>
      <c r="K391" s="88" t="b">
        <v>0</v>
      </c>
      <c r="L391" s="88" t="b">
        <v>0</v>
      </c>
    </row>
    <row r="392" spans="1:12" ht="15">
      <c r="A392" s="83" t="s">
        <v>2457</v>
      </c>
      <c r="B392" s="88" t="s">
        <v>367</v>
      </c>
      <c r="C392" s="88">
        <v>2</v>
      </c>
      <c r="D392" s="110">
        <v>0.0011143972919833293</v>
      </c>
      <c r="E392" s="110">
        <v>2.9229848157088827</v>
      </c>
      <c r="F392" s="88" t="s">
        <v>2714</v>
      </c>
      <c r="G392" s="88" t="b">
        <v>0</v>
      </c>
      <c r="H392" s="88" t="b">
        <v>0</v>
      </c>
      <c r="I392" s="88" t="b">
        <v>0</v>
      </c>
      <c r="J392" s="88" t="b">
        <v>0</v>
      </c>
      <c r="K392" s="88" t="b">
        <v>0</v>
      </c>
      <c r="L392" s="88" t="b">
        <v>0</v>
      </c>
    </row>
    <row r="393" spans="1:12" ht="15">
      <c r="A393" s="83" t="s">
        <v>367</v>
      </c>
      <c r="B393" s="88" t="s">
        <v>2701</v>
      </c>
      <c r="C393" s="88">
        <v>2</v>
      </c>
      <c r="D393" s="110">
        <v>0.0011143972919833293</v>
      </c>
      <c r="E393" s="110">
        <v>3.224014811372864</v>
      </c>
      <c r="F393" s="88" t="s">
        <v>2714</v>
      </c>
      <c r="G393" s="88" t="b">
        <v>0</v>
      </c>
      <c r="H393" s="88" t="b">
        <v>0</v>
      </c>
      <c r="I393" s="88" t="b">
        <v>0</v>
      </c>
      <c r="J393" s="88" t="b">
        <v>0</v>
      </c>
      <c r="K393" s="88" t="b">
        <v>0</v>
      </c>
      <c r="L393" s="88" t="b">
        <v>0</v>
      </c>
    </row>
    <row r="394" spans="1:12" ht="15">
      <c r="A394" s="83" t="s">
        <v>2701</v>
      </c>
      <c r="B394" s="88" t="s">
        <v>1964</v>
      </c>
      <c r="C394" s="88">
        <v>2</v>
      </c>
      <c r="D394" s="110">
        <v>0.0011143972919833293</v>
      </c>
      <c r="E394" s="110">
        <v>1.3155297924942142</v>
      </c>
      <c r="F394" s="88" t="s">
        <v>2714</v>
      </c>
      <c r="G394" s="88" t="b">
        <v>0</v>
      </c>
      <c r="H394" s="88" t="b">
        <v>0</v>
      </c>
      <c r="I394" s="88" t="b">
        <v>0</v>
      </c>
      <c r="J394" s="88" t="b">
        <v>0</v>
      </c>
      <c r="K394" s="88" t="b">
        <v>0</v>
      </c>
      <c r="L394" s="88" t="b">
        <v>0</v>
      </c>
    </row>
    <row r="395" spans="1:12" ht="15">
      <c r="A395" s="83" t="s">
        <v>2493</v>
      </c>
      <c r="B395" s="88" t="s">
        <v>2702</v>
      </c>
      <c r="C395" s="88">
        <v>2</v>
      </c>
      <c r="D395" s="110">
        <v>0.0011143972919833293</v>
      </c>
      <c r="E395" s="110">
        <v>2.9229848157088827</v>
      </c>
      <c r="F395" s="88" t="s">
        <v>2714</v>
      </c>
      <c r="G395" s="88" t="b">
        <v>0</v>
      </c>
      <c r="H395" s="88" t="b">
        <v>0</v>
      </c>
      <c r="I395" s="88" t="b">
        <v>0</v>
      </c>
      <c r="J395" s="88" t="b">
        <v>0</v>
      </c>
      <c r="K395" s="88" t="b">
        <v>0</v>
      </c>
      <c r="L395" s="88" t="b">
        <v>0</v>
      </c>
    </row>
    <row r="396" spans="1:12" ht="15">
      <c r="A396" s="83" t="s">
        <v>2702</v>
      </c>
      <c r="B396" s="88" t="s">
        <v>2703</v>
      </c>
      <c r="C396" s="88">
        <v>2</v>
      </c>
      <c r="D396" s="110">
        <v>0.0011143972919833293</v>
      </c>
      <c r="E396" s="110">
        <v>3.224014811372864</v>
      </c>
      <c r="F396" s="88" t="s">
        <v>2714</v>
      </c>
      <c r="G396" s="88" t="b">
        <v>0</v>
      </c>
      <c r="H396" s="88" t="b">
        <v>0</v>
      </c>
      <c r="I396" s="88" t="b">
        <v>0</v>
      </c>
      <c r="J396" s="88" t="b">
        <v>0</v>
      </c>
      <c r="K396" s="88" t="b">
        <v>0</v>
      </c>
      <c r="L396" s="88" t="b">
        <v>0</v>
      </c>
    </row>
    <row r="397" spans="1:12" ht="15">
      <c r="A397" s="83" t="s">
        <v>2703</v>
      </c>
      <c r="B397" s="88" t="s">
        <v>2497</v>
      </c>
      <c r="C397" s="88">
        <v>2</v>
      </c>
      <c r="D397" s="110">
        <v>0.0011143972919833293</v>
      </c>
      <c r="E397" s="110">
        <v>2.9229848157088827</v>
      </c>
      <c r="F397" s="88" t="s">
        <v>2714</v>
      </c>
      <c r="G397" s="88" t="b">
        <v>0</v>
      </c>
      <c r="H397" s="88" t="b">
        <v>0</v>
      </c>
      <c r="I397" s="88" t="b">
        <v>0</v>
      </c>
      <c r="J397" s="88" t="b">
        <v>0</v>
      </c>
      <c r="K397" s="88" t="b">
        <v>0</v>
      </c>
      <c r="L397" s="88" t="b">
        <v>0</v>
      </c>
    </row>
    <row r="398" spans="1:12" ht="15">
      <c r="A398" s="83" t="s">
        <v>2497</v>
      </c>
      <c r="B398" s="88" t="s">
        <v>2471</v>
      </c>
      <c r="C398" s="88">
        <v>2</v>
      </c>
      <c r="D398" s="110">
        <v>0.0011143972919833293</v>
      </c>
      <c r="E398" s="110">
        <v>2.6219548200449014</v>
      </c>
      <c r="F398" s="88" t="s">
        <v>2714</v>
      </c>
      <c r="G398" s="88" t="b">
        <v>0</v>
      </c>
      <c r="H398" s="88" t="b">
        <v>0</v>
      </c>
      <c r="I398" s="88" t="b">
        <v>0</v>
      </c>
      <c r="J398" s="88" t="b">
        <v>0</v>
      </c>
      <c r="K398" s="88" t="b">
        <v>0</v>
      </c>
      <c r="L398" s="88" t="b">
        <v>0</v>
      </c>
    </row>
    <row r="399" spans="1:12" ht="15">
      <c r="A399" s="83" t="s">
        <v>2471</v>
      </c>
      <c r="B399" s="88" t="s">
        <v>2546</v>
      </c>
      <c r="C399" s="88">
        <v>2</v>
      </c>
      <c r="D399" s="110">
        <v>0.0011143972919833293</v>
      </c>
      <c r="E399" s="110">
        <v>2.746893556653202</v>
      </c>
      <c r="F399" s="88" t="s">
        <v>2714</v>
      </c>
      <c r="G399" s="88" t="b">
        <v>0</v>
      </c>
      <c r="H399" s="88" t="b">
        <v>0</v>
      </c>
      <c r="I399" s="88" t="b">
        <v>0</v>
      </c>
      <c r="J399" s="88" t="b">
        <v>0</v>
      </c>
      <c r="K399" s="88" t="b">
        <v>0</v>
      </c>
      <c r="L399" s="88" t="b">
        <v>0</v>
      </c>
    </row>
    <row r="400" spans="1:12" ht="15">
      <c r="A400" s="83" t="s">
        <v>2546</v>
      </c>
      <c r="B400" s="88" t="s">
        <v>1944</v>
      </c>
      <c r="C400" s="88">
        <v>2</v>
      </c>
      <c r="D400" s="110">
        <v>0.0011143972919833293</v>
      </c>
      <c r="E400" s="110">
        <v>1.0501004715714575</v>
      </c>
      <c r="F400" s="88" t="s">
        <v>2714</v>
      </c>
      <c r="G400" s="88" t="b">
        <v>0</v>
      </c>
      <c r="H400" s="88" t="b">
        <v>0</v>
      </c>
      <c r="I400" s="88" t="b">
        <v>0</v>
      </c>
      <c r="J400" s="88" t="b">
        <v>0</v>
      </c>
      <c r="K400" s="88" t="b">
        <v>0</v>
      </c>
      <c r="L400" s="88" t="b">
        <v>0</v>
      </c>
    </row>
    <row r="401" spans="1:12" ht="15">
      <c r="A401" s="83" t="s">
        <v>1944</v>
      </c>
      <c r="B401" s="88" t="s">
        <v>2704</v>
      </c>
      <c r="C401" s="88">
        <v>2</v>
      </c>
      <c r="D401" s="110">
        <v>0.0011143972919833293</v>
      </c>
      <c r="E401" s="110">
        <v>1.2417435783332957</v>
      </c>
      <c r="F401" s="88" t="s">
        <v>2714</v>
      </c>
      <c r="G401" s="88" t="b">
        <v>0</v>
      </c>
      <c r="H401" s="88" t="b">
        <v>0</v>
      </c>
      <c r="I401" s="88" t="b">
        <v>0</v>
      </c>
      <c r="J401" s="88" t="b">
        <v>0</v>
      </c>
      <c r="K401" s="88" t="b">
        <v>0</v>
      </c>
      <c r="L401" s="88" t="b">
        <v>0</v>
      </c>
    </row>
    <row r="402" spans="1:12" ht="15">
      <c r="A402" s="83" t="s">
        <v>2704</v>
      </c>
      <c r="B402" s="88" t="s">
        <v>2705</v>
      </c>
      <c r="C402" s="88">
        <v>2</v>
      </c>
      <c r="D402" s="110">
        <v>0.0011143972919833293</v>
      </c>
      <c r="E402" s="110">
        <v>3.224014811372864</v>
      </c>
      <c r="F402" s="88" t="s">
        <v>2714</v>
      </c>
      <c r="G402" s="88" t="b">
        <v>0</v>
      </c>
      <c r="H402" s="88" t="b">
        <v>0</v>
      </c>
      <c r="I402" s="88" t="b">
        <v>0</v>
      </c>
      <c r="J402" s="88" t="b">
        <v>0</v>
      </c>
      <c r="K402" s="88" t="b">
        <v>0</v>
      </c>
      <c r="L402" s="88" t="b">
        <v>0</v>
      </c>
    </row>
    <row r="403" spans="1:12" ht="15">
      <c r="A403" s="83" t="s">
        <v>2705</v>
      </c>
      <c r="B403" s="88" t="s">
        <v>1967</v>
      </c>
      <c r="C403" s="88">
        <v>2</v>
      </c>
      <c r="D403" s="110">
        <v>0.0011143972919833293</v>
      </c>
      <c r="E403" s="110">
        <v>1.5660034147157518</v>
      </c>
      <c r="F403" s="88" t="s">
        <v>2714</v>
      </c>
      <c r="G403" s="88" t="b">
        <v>0</v>
      </c>
      <c r="H403" s="88" t="b">
        <v>0</v>
      </c>
      <c r="I403" s="88" t="b">
        <v>0</v>
      </c>
      <c r="J403" s="88" t="b">
        <v>0</v>
      </c>
      <c r="K403" s="88" t="b">
        <v>0</v>
      </c>
      <c r="L403" s="88" t="b">
        <v>0</v>
      </c>
    </row>
    <row r="404" spans="1:12" ht="15">
      <c r="A404" s="83" t="s">
        <v>1944</v>
      </c>
      <c r="B404" s="88" t="s">
        <v>2706</v>
      </c>
      <c r="C404" s="88">
        <v>2</v>
      </c>
      <c r="D404" s="110">
        <v>0.0011143972919833293</v>
      </c>
      <c r="E404" s="110">
        <v>1.2417435783332957</v>
      </c>
      <c r="F404" s="88" t="s">
        <v>2714</v>
      </c>
      <c r="G404" s="88" t="b">
        <v>0</v>
      </c>
      <c r="H404" s="88" t="b">
        <v>0</v>
      </c>
      <c r="I404" s="88" t="b">
        <v>0</v>
      </c>
      <c r="J404" s="88" t="b">
        <v>0</v>
      </c>
      <c r="K404" s="88" t="b">
        <v>0</v>
      </c>
      <c r="L404" s="88" t="b">
        <v>0</v>
      </c>
    </row>
    <row r="405" spans="1:12" ht="15">
      <c r="A405" s="83" t="s">
        <v>2706</v>
      </c>
      <c r="B405" s="88" t="s">
        <v>2707</v>
      </c>
      <c r="C405" s="88">
        <v>2</v>
      </c>
      <c r="D405" s="110">
        <v>0.0011143972919833293</v>
      </c>
      <c r="E405" s="110">
        <v>3.224014811372864</v>
      </c>
      <c r="F405" s="88" t="s">
        <v>2714</v>
      </c>
      <c r="G405" s="88" t="b">
        <v>0</v>
      </c>
      <c r="H405" s="88" t="b">
        <v>0</v>
      </c>
      <c r="I405" s="88" t="b">
        <v>0</v>
      </c>
      <c r="J405" s="88" t="b">
        <v>1</v>
      </c>
      <c r="K405" s="88" t="b">
        <v>0</v>
      </c>
      <c r="L405" s="88" t="b">
        <v>0</v>
      </c>
    </row>
    <row r="406" spans="1:12" ht="15">
      <c r="A406" s="83" t="s">
        <v>2707</v>
      </c>
      <c r="B406" s="88" t="s">
        <v>2708</v>
      </c>
      <c r="C406" s="88">
        <v>2</v>
      </c>
      <c r="D406" s="110">
        <v>0.0011143972919833293</v>
      </c>
      <c r="E406" s="110">
        <v>3.224014811372864</v>
      </c>
      <c r="F406" s="88" t="s">
        <v>2714</v>
      </c>
      <c r="G406" s="88" t="b">
        <v>1</v>
      </c>
      <c r="H406" s="88" t="b">
        <v>0</v>
      </c>
      <c r="I406" s="88" t="b">
        <v>0</v>
      </c>
      <c r="J406" s="88" t="b">
        <v>0</v>
      </c>
      <c r="K406" s="88" t="b">
        <v>0</v>
      </c>
      <c r="L406" s="88" t="b">
        <v>0</v>
      </c>
    </row>
    <row r="407" spans="1:12" ht="15">
      <c r="A407" s="83" t="s">
        <v>2708</v>
      </c>
      <c r="B407" s="88" t="s">
        <v>2548</v>
      </c>
      <c r="C407" s="88">
        <v>2</v>
      </c>
      <c r="D407" s="110">
        <v>0.0011143972919833293</v>
      </c>
      <c r="E407" s="110">
        <v>3.047923552317183</v>
      </c>
      <c r="F407" s="88" t="s">
        <v>2714</v>
      </c>
      <c r="G407" s="88" t="b">
        <v>0</v>
      </c>
      <c r="H407" s="88" t="b">
        <v>0</v>
      </c>
      <c r="I407" s="88" t="b">
        <v>0</v>
      </c>
      <c r="J407" s="88" t="b">
        <v>0</v>
      </c>
      <c r="K407" s="88" t="b">
        <v>0</v>
      </c>
      <c r="L407" s="88" t="b">
        <v>0</v>
      </c>
    </row>
    <row r="408" spans="1:12" ht="15">
      <c r="A408" s="83" t="s">
        <v>2548</v>
      </c>
      <c r="B408" s="88" t="s">
        <v>1971</v>
      </c>
      <c r="C408" s="88">
        <v>2</v>
      </c>
      <c r="D408" s="110">
        <v>0.0011143972919833293</v>
      </c>
      <c r="E408" s="110">
        <v>1.4976951992620888</v>
      </c>
      <c r="F408" s="88" t="s">
        <v>2714</v>
      </c>
      <c r="G408" s="88" t="b">
        <v>0</v>
      </c>
      <c r="H408" s="88" t="b">
        <v>0</v>
      </c>
      <c r="I408" s="88" t="b">
        <v>0</v>
      </c>
      <c r="J408" s="88" t="b">
        <v>0</v>
      </c>
      <c r="K408" s="88" t="b">
        <v>0</v>
      </c>
      <c r="L408" s="88" t="b">
        <v>0</v>
      </c>
    </row>
    <row r="409" spans="1:12" ht="15">
      <c r="A409" s="83" t="s">
        <v>1971</v>
      </c>
      <c r="B409" s="88" t="s">
        <v>1965</v>
      </c>
      <c r="C409" s="88">
        <v>2</v>
      </c>
      <c r="D409" s="110">
        <v>0.0011143972919833293</v>
      </c>
      <c r="E409" s="110">
        <v>-0.28313239361923875</v>
      </c>
      <c r="F409" s="88" t="s">
        <v>2714</v>
      </c>
      <c r="G409" s="88" t="b">
        <v>0</v>
      </c>
      <c r="H409" s="88" t="b">
        <v>0</v>
      </c>
      <c r="I409" s="88" t="b">
        <v>0</v>
      </c>
      <c r="J409" s="88" t="b">
        <v>0</v>
      </c>
      <c r="K409" s="88" t="b">
        <v>0</v>
      </c>
      <c r="L409" s="88" t="b">
        <v>0</v>
      </c>
    </row>
    <row r="410" spans="1:12" ht="15">
      <c r="A410" s="83" t="s">
        <v>1974</v>
      </c>
      <c r="B410" s="88" t="s">
        <v>378</v>
      </c>
      <c r="C410" s="88">
        <v>64</v>
      </c>
      <c r="D410" s="110">
        <v>0</v>
      </c>
      <c r="E410" s="110">
        <v>1.325117822613736</v>
      </c>
      <c r="F410" s="88" t="s">
        <v>1777</v>
      </c>
      <c r="G410" s="88" t="b">
        <v>0</v>
      </c>
      <c r="H410" s="88" t="b">
        <v>0</v>
      </c>
      <c r="I410" s="88" t="b">
        <v>0</v>
      </c>
      <c r="J410" s="88" t="b">
        <v>0</v>
      </c>
      <c r="K410" s="88" t="b">
        <v>0</v>
      </c>
      <c r="L410" s="88" t="b">
        <v>0</v>
      </c>
    </row>
    <row r="411" spans="1:12" ht="15">
      <c r="A411" s="83" t="s">
        <v>378</v>
      </c>
      <c r="B411" s="88" t="s">
        <v>1971</v>
      </c>
      <c r="C411" s="88">
        <v>64</v>
      </c>
      <c r="D411" s="110">
        <v>0</v>
      </c>
      <c r="E411" s="110">
        <v>1.325117822613736</v>
      </c>
      <c r="F411" s="88" t="s">
        <v>1777</v>
      </c>
      <c r="G411" s="88" t="b">
        <v>0</v>
      </c>
      <c r="H411" s="88" t="b">
        <v>0</v>
      </c>
      <c r="I411" s="88" t="b">
        <v>0</v>
      </c>
      <c r="J411" s="88" t="b">
        <v>0</v>
      </c>
      <c r="K411" s="88" t="b">
        <v>0</v>
      </c>
      <c r="L411" s="88" t="b">
        <v>0</v>
      </c>
    </row>
    <row r="412" spans="1:12" ht="15">
      <c r="A412" s="83" t="s">
        <v>1971</v>
      </c>
      <c r="B412" s="88" t="s">
        <v>1972</v>
      </c>
      <c r="C412" s="88">
        <v>64</v>
      </c>
      <c r="D412" s="110">
        <v>0</v>
      </c>
      <c r="E412" s="110">
        <v>1.325117822613736</v>
      </c>
      <c r="F412" s="88" t="s">
        <v>1777</v>
      </c>
      <c r="G412" s="88" t="b">
        <v>0</v>
      </c>
      <c r="H412" s="88" t="b">
        <v>0</v>
      </c>
      <c r="I412" s="88" t="b">
        <v>0</v>
      </c>
      <c r="J412" s="88" t="b">
        <v>0</v>
      </c>
      <c r="K412" s="88" t="b">
        <v>0</v>
      </c>
      <c r="L412" s="88" t="b">
        <v>0</v>
      </c>
    </row>
    <row r="413" spans="1:12" ht="15">
      <c r="A413" s="83" t="s">
        <v>1972</v>
      </c>
      <c r="B413" s="88" t="s">
        <v>1970</v>
      </c>
      <c r="C413" s="88">
        <v>64</v>
      </c>
      <c r="D413" s="110">
        <v>0</v>
      </c>
      <c r="E413" s="110">
        <v>1.325117822613736</v>
      </c>
      <c r="F413" s="88" t="s">
        <v>1777</v>
      </c>
      <c r="G413" s="88" t="b">
        <v>0</v>
      </c>
      <c r="H413" s="88" t="b">
        <v>0</v>
      </c>
      <c r="I413" s="88" t="b">
        <v>0</v>
      </c>
      <c r="J413" s="88" t="b">
        <v>0</v>
      </c>
      <c r="K413" s="88" t="b">
        <v>0</v>
      </c>
      <c r="L413" s="88" t="b">
        <v>0</v>
      </c>
    </row>
    <row r="414" spans="1:12" ht="15">
      <c r="A414" s="83" t="s">
        <v>1970</v>
      </c>
      <c r="B414" s="88" t="s">
        <v>1965</v>
      </c>
      <c r="C414" s="88">
        <v>64</v>
      </c>
      <c r="D414" s="110">
        <v>0</v>
      </c>
      <c r="E414" s="110">
        <v>1.325117822613736</v>
      </c>
      <c r="F414" s="88" t="s">
        <v>1777</v>
      </c>
      <c r="G414" s="88" t="b">
        <v>0</v>
      </c>
      <c r="H414" s="88" t="b">
        <v>0</v>
      </c>
      <c r="I414" s="88" t="b">
        <v>0</v>
      </c>
      <c r="J414" s="88" t="b">
        <v>0</v>
      </c>
      <c r="K414" s="88" t="b">
        <v>0</v>
      </c>
      <c r="L414" s="88" t="b">
        <v>0</v>
      </c>
    </row>
    <row r="415" spans="1:12" ht="15">
      <c r="A415" s="83" t="s">
        <v>1965</v>
      </c>
      <c r="B415" s="88" t="s">
        <v>1944</v>
      </c>
      <c r="C415" s="88">
        <v>64</v>
      </c>
      <c r="D415" s="110">
        <v>0</v>
      </c>
      <c r="E415" s="110">
        <v>1.325117822613736</v>
      </c>
      <c r="F415" s="88" t="s">
        <v>1777</v>
      </c>
      <c r="G415" s="88" t="b">
        <v>0</v>
      </c>
      <c r="H415" s="88" t="b">
        <v>0</v>
      </c>
      <c r="I415" s="88" t="b">
        <v>0</v>
      </c>
      <c r="J415" s="88" t="b">
        <v>0</v>
      </c>
      <c r="K415" s="88" t="b">
        <v>0</v>
      </c>
      <c r="L415" s="88" t="b">
        <v>0</v>
      </c>
    </row>
    <row r="416" spans="1:12" ht="15">
      <c r="A416" s="83" t="s">
        <v>1944</v>
      </c>
      <c r="B416" s="88" t="s">
        <v>1968</v>
      </c>
      <c r="C416" s="88">
        <v>64</v>
      </c>
      <c r="D416" s="110">
        <v>0</v>
      </c>
      <c r="E416" s="110">
        <v>1.325117822613736</v>
      </c>
      <c r="F416" s="88" t="s">
        <v>1777</v>
      </c>
      <c r="G416" s="88" t="b">
        <v>0</v>
      </c>
      <c r="H416" s="88" t="b">
        <v>0</v>
      </c>
      <c r="I416" s="88" t="b">
        <v>0</v>
      </c>
      <c r="J416" s="88" t="b">
        <v>0</v>
      </c>
      <c r="K416" s="88" t="b">
        <v>0</v>
      </c>
      <c r="L416" s="88" t="b">
        <v>0</v>
      </c>
    </row>
    <row r="417" spans="1:12" ht="15">
      <c r="A417" s="83" t="s">
        <v>1968</v>
      </c>
      <c r="B417" s="88" t="s">
        <v>1969</v>
      </c>
      <c r="C417" s="88">
        <v>64</v>
      </c>
      <c r="D417" s="110">
        <v>0</v>
      </c>
      <c r="E417" s="110">
        <v>1.325117822613736</v>
      </c>
      <c r="F417" s="88" t="s">
        <v>1777</v>
      </c>
      <c r="G417" s="88" t="b">
        <v>0</v>
      </c>
      <c r="H417" s="88" t="b">
        <v>0</v>
      </c>
      <c r="I417" s="88" t="b">
        <v>0</v>
      </c>
      <c r="J417" s="88" t="b">
        <v>0</v>
      </c>
      <c r="K417" s="88" t="b">
        <v>0</v>
      </c>
      <c r="L417" s="88" t="b">
        <v>0</v>
      </c>
    </row>
    <row r="418" spans="1:12" ht="15">
      <c r="A418" s="83" t="s">
        <v>1969</v>
      </c>
      <c r="B418" s="88" t="s">
        <v>331</v>
      </c>
      <c r="C418" s="88">
        <v>64</v>
      </c>
      <c r="D418" s="110">
        <v>0</v>
      </c>
      <c r="E418" s="110">
        <v>1.325117822613736</v>
      </c>
      <c r="F418" s="88" t="s">
        <v>1777</v>
      </c>
      <c r="G418" s="88" t="b">
        <v>0</v>
      </c>
      <c r="H418" s="88" t="b">
        <v>0</v>
      </c>
      <c r="I418" s="88" t="b">
        <v>0</v>
      </c>
      <c r="J418" s="88" t="b">
        <v>0</v>
      </c>
      <c r="K418" s="88" t="b">
        <v>0</v>
      </c>
      <c r="L418" s="88" t="b">
        <v>0</v>
      </c>
    </row>
    <row r="419" spans="1:12" ht="15">
      <c r="A419" s="83" t="s">
        <v>331</v>
      </c>
      <c r="B419" s="88" t="s">
        <v>2428</v>
      </c>
      <c r="C419" s="88">
        <v>64</v>
      </c>
      <c r="D419" s="110">
        <v>0</v>
      </c>
      <c r="E419" s="110">
        <v>1.325117822613736</v>
      </c>
      <c r="F419" s="88" t="s">
        <v>1777</v>
      </c>
      <c r="G419" s="88" t="b">
        <v>0</v>
      </c>
      <c r="H419" s="88" t="b">
        <v>0</v>
      </c>
      <c r="I419" s="88" t="b">
        <v>0</v>
      </c>
      <c r="J419" s="88" t="b">
        <v>0</v>
      </c>
      <c r="K419" s="88" t="b">
        <v>0</v>
      </c>
      <c r="L419" s="88" t="b">
        <v>0</v>
      </c>
    </row>
    <row r="420" spans="1:12" ht="15">
      <c r="A420" s="83" t="s">
        <v>2428</v>
      </c>
      <c r="B420" s="88" t="s">
        <v>2429</v>
      </c>
      <c r="C420" s="88">
        <v>64</v>
      </c>
      <c r="D420" s="110">
        <v>0</v>
      </c>
      <c r="E420" s="110">
        <v>1.325117822613736</v>
      </c>
      <c r="F420" s="88" t="s">
        <v>1777</v>
      </c>
      <c r="G420" s="88" t="b">
        <v>0</v>
      </c>
      <c r="H420" s="88" t="b">
        <v>0</v>
      </c>
      <c r="I420" s="88" t="b">
        <v>0</v>
      </c>
      <c r="J420" s="88" t="b">
        <v>0</v>
      </c>
      <c r="K420" s="88" t="b">
        <v>0</v>
      </c>
      <c r="L420" s="88" t="b">
        <v>0</v>
      </c>
    </row>
    <row r="421" spans="1:12" ht="15">
      <c r="A421" s="83" t="s">
        <v>2429</v>
      </c>
      <c r="B421" s="88" t="s">
        <v>2430</v>
      </c>
      <c r="C421" s="88">
        <v>64</v>
      </c>
      <c r="D421" s="110">
        <v>0</v>
      </c>
      <c r="E421" s="110">
        <v>1.325117822613736</v>
      </c>
      <c r="F421" s="88" t="s">
        <v>1777</v>
      </c>
      <c r="G421" s="88" t="b">
        <v>0</v>
      </c>
      <c r="H421" s="88" t="b">
        <v>0</v>
      </c>
      <c r="I421" s="88" t="b">
        <v>0</v>
      </c>
      <c r="J421" s="88" t="b">
        <v>0</v>
      </c>
      <c r="K421" s="88" t="b">
        <v>0</v>
      </c>
      <c r="L421" s="88" t="b">
        <v>0</v>
      </c>
    </row>
    <row r="422" spans="1:12" ht="15">
      <c r="A422" s="83" t="s">
        <v>2430</v>
      </c>
      <c r="B422" s="88" t="s">
        <v>1966</v>
      </c>
      <c r="C422" s="88">
        <v>64</v>
      </c>
      <c r="D422" s="110">
        <v>0</v>
      </c>
      <c r="E422" s="110">
        <v>1.0240878269497546</v>
      </c>
      <c r="F422" s="88" t="s">
        <v>1777</v>
      </c>
      <c r="G422" s="88" t="b">
        <v>0</v>
      </c>
      <c r="H422" s="88" t="b">
        <v>0</v>
      </c>
      <c r="I422" s="88" t="b">
        <v>0</v>
      </c>
      <c r="J422" s="88" t="b">
        <v>0</v>
      </c>
      <c r="K422" s="88" t="b">
        <v>0</v>
      </c>
      <c r="L422" s="88" t="b">
        <v>0</v>
      </c>
    </row>
    <row r="423" spans="1:12" ht="15">
      <c r="A423" s="83" t="s">
        <v>1966</v>
      </c>
      <c r="B423" s="88" t="s">
        <v>1964</v>
      </c>
      <c r="C423" s="88">
        <v>64</v>
      </c>
      <c r="D423" s="110">
        <v>0</v>
      </c>
      <c r="E423" s="110">
        <v>1.267974936477167</v>
      </c>
      <c r="F423" s="88" t="s">
        <v>1777</v>
      </c>
      <c r="G423" s="88" t="b">
        <v>0</v>
      </c>
      <c r="H423" s="88" t="b">
        <v>0</v>
      </c>
      <c r="I423" s="88" t="b">
        <v>0</v>
      </c>
      <c r="J423" s="88" t="b">
        <v>0</v>
      </c>
      <c r="K423" s="88" t="b">
        <v>0</v>
      </c>
      <c r="L423" s="88" t="b">
        <v>0</v>
      </c>
    </row>
    <row r="424" spans="1:12" ht="15">
      <c r="A424" s="83" t="s">
        <v>1964</v>
      </c>
      <c r="B424" s="88" t="s">
        <v>1967</v>
      </c>
      <c r="C424" s="88">
        <v>64</v>
      </c>
      <c r="D424" s="110">
        <v>0</v>
      </c>
      <c r="E424" s="110">
        <v>1.325117822613736</v>
      </c>
      <c r="F424" s="88" t="s">
        <v>1777</v>
      </c>
      <c r="G424" s="88" t="b">
        <v>0</v>
      </c>
      <c r="H424" s="88" t="b">
        <v>0</v>
      </c>
      <c r="I424" s="88" t="b">
        <v>0</v>
      </c>
      <c r="J424" s="88" t="b">
        <v>0</v>
      </c>
      <c r="K424" s="88" t="b">
        <v>0</v>
      </c>
      <c r="L424" s="88" t="b">
        <v>0</v>
      </c>
    </row>
    <row r="425" spans="1:12" ht="15">
      <c r="A425" s="83" t="s">
        <v>1967</v>
      </c>
      <c r="B425" s="88" t="s">
        <v>2426</v>
      </c>
      <c r="C425" s="88">
        <v>64</v>
      </c>
      <c r="D425" s="110">
        <v>0</v>
      </c>
      <c r="E425" s="110">
        <v>1.325117822613736</v>
      </c>
      <c r="F425" s="88" t="s">
        <v>1777</v>
      </c>
      <c r="G425" s="88" t="b">
        <v>0</v>
      </c>
      <c r="H425" s="88" t="b">
        <v>0</v>
      </c>
      <c r="I425" s="88" t="b">
        <v>0</v>
      </c>
      <c r="J425" s="88" t="b">
        <v>0</v>
      </c>
      <c r="K425" s="88" t="b">
        <v>0</v>
      </c>
      <c r="L425" s="88" t="b">
        <v>0</v>
      </c>
    </row>
    <row r="426" spans="1:12" ht="15">
      <c r="A426" s="83" t="s">
        <v>2431</v>
      </c>
      <c r="B426" s="88" t="s">
        <v>2427</v>
      </c>
      <c r="C426" s="88">
        <v>64</v>
      </c>
      <c r="D426" s="110">
        <v>0</v>
      </c>
      <c r="E426" s="110">
        <v>1.325117822613736</v>
      </c>
      <c r="F426" s="88" t="s">
        <v>1777</v>
      </c>
      <c r="G426" s="88" t="b">
        <v>0</v>
      </c>
      <c r="H426" s="88" t="b">
        <v>0</v>
      </c>
      <c r="I426" s="88" t="b">
        <v>0</v>
      </c>
      <c r="J426" s="88" t="b">
        <v>0</v>
      </c>
      <c r="K426" s="88" t="b">
        <v>0</v>
      </c>
      <c r="L426" s="88" t="b">
        <v>0</v>
      </c>
    </row>
    <row r="427" spans="1:12" ht="15">
      <c r="A427" s="83" t="s">
        <v>2427</v>
      </c>
      <c r="B427" s="88" t="s">
        <v>2432</v>
      </c>
      <c r="C427" s="88">
        <v>64</v>
      </c>
      <c r="D427" s="110">
        <v>0</v>
      </c>
      <c r="E427" s="110">
        <v>1.325117822613736</v>
      </c>
      <c r="F427" s="88" t="s">
        <v>1777</v>
      </c>
      <c r="G427" s="88" t="b">
        <v>0</v>
      </c>
      <c r="H427" s="88" t="b">
        <v>0</v>
      </c>
      <c r="I427" s="88" t="b">
        <v>0</v>
      </c>
      <c r="J427" s="88" t="b">
        <v>0</v>
      </c>
      <c r="K427" s="88" t="b">
        <v>0</v>
      </c>
      <c r="L427" s="88" t="b">
        <v>0</v>
      </c>
    </row>
    <row r="428" spans="1:12" ht="15">
      <c r="A428" s="83" t="s">
        <v>2432</v>
      </c>
      <c r="B428" s="88" t="s">
        <v>1966</v>
      </c>
      <c r="C428" s="88">
        <v>64</v>
      </c>
      <c r="D428" s="110">
        <v>0</v>
      </c>
      <c r="E428" s="110">
        <v>1.0240878269497546</v>
      </c>
      <c r="F428" s="88" t="s">
        <v>1777</v>
      </c>
      <c r="G428" s="88" t="b">
        <v>0</v>
      </c>
      <c r="H428" s="88" t="b">
        <v>0</v>
      </c>
      <c r="I428" s="88" t="b">
        <v>0</v>
      </c>
      <c r="J428" s="88" t="b">
        <v>0</v>
      </c>
      <c r="K428" s="88" t="b">
        <v>0</v>
      </c>
      <c r="L428" s="88" t="b">
        <v>0</v>
      </c>
    </row>
    <row r="429" spans="1:12" ht="15">
      <c r="A429" s="83" t="s">
        <v>2426</v>
      </c>
      <c r="B429" s="88" t="s">
        <v>377</v>
      </c>
      <c r="C429" s="88">
        <v>63</v>
      </c>
      <c r="D429" s="110">
        <v>0.00030408168342218976</v>
      </c>
      <c r="E429" s="110">
        <v>1.325117822613736</v>
      </c>
      <c r="F429" s="88" t="s">
        <v>1777</v>
      </c>
      <c r="G429" s="88" t="b">
        <v>0</v>
      </c>
      <c r="H429" s="88" t="b">
        <v>0</v>
      </c>
      <c r="I429" s="88" t="b">
        <v>0</v>
      </c>
      <c r="J429" s="88" t="b">
        <v>0</v>
      </c>
      <c r="K429" s="88" t="b">
        <v>0</v>
      </c>
      <c r="L429" s="88" t="b">
        <v>0</v>
      </c>
    </row>
    <row r="430" spans="1:12" ht="15">
      <c r="A430" s="83" t="s">
        <v>377</v>
      </c>
      <c r="B430" s="88" t="s">
        <v>2431</v>
      </c>
      <c r="C430" s="88">
        <v>63</v>
      </c>
      <c r="D430" s="110">
        <v>0.00030408168342218976</v>
      </c>
      <c r="E430" s="110">
        <v>1.325117822613736</v>
      </c>
      <c r="F430" s="88" t="s">
        <v>1777</v>
      </c>
      <c r="G430" s="88" t="b">
        <v>0</v>
      </c>
      <c r="H430" s="88" t="b">
        <v>0</v>
      </c>
      <c r="I430" s="88" t="b">
        <v>0</v>
      </c>
      <c r="J430" s="88" t="b">
        <v>0</v>
      </c>
      <c r="K430" s="88" t="b">
        <v>0</v>
      </c>
      <c r="L430" s="88" t="b">
        <v>0</v>
      </c>
    </row>
    <row r="431" spans="1:12" ht="15">
      <c r="A431" s="83" t="s">
        <v>1966</v>
      </c>
      <c r="B431" s="88" t="s">
        <v>332</v>
      </c>
      <c r="C431" s="88">
        <v>9</v>
      </c>
      <c r="D431" s="110">
        <v>0.005411035413479931</v>
      </c>
      <c r="E431" s="110">
        <v>1.267974936477167</v>
      </c>
      <c r="F431" s="88" t="s">
        <v>1777</v>
      </c>
      <c r="G431" s="88" t="b">
        <v>0</v>
      </c>
      <c r="H431" s="88" t="b">
        <v>0</v>
      </c>
      <c r="I431" s="88" t="b">
        <v>0</v>
      </c>
      <c r="J431" s="88" t="b">
        <v>0</v>
      </c>
      <c r="K431" s="88" t="b">
        <v>0</v>
      </c>
      <c r="L431" s="88" t="b">
        <v>0</v>
      </c>
    </row>
    <row r="432" spans="1:12" ht="15">
      <c r="A432" s="83" t="s">
        <v>1964</v>
      </c>
      <c r="B432" s="88" t="s">
        <v>1965</v>
      </c>
      <c r="C432" s="88">
        <v>17</v>
      </c>
      <c r="D432" s="110">
        <v>0.006612881677056224</v>
      </c>
      <c r="E432" s="110">
        <v>1.0838056064441328</v>
      </c>
      <c r="F432" s="88" t="s">
        <v>1778</v>
      </c>
      <c r="G432" s="88" t="b">
        <v>0</v>
      </c>
      <c r="H432" s="88" t="b">
        <v>0</v>
      </c>
      <c r="I432" s="88" t="b">
        <v>0</v>
      </c>
      <c r="J432" s="88" t="b">
        <v>0</v>
      </c>
      <c r="K432" s="88" t="b">
        <v>0</v>
      </c>
      <c r="L432" s="88" t="b">
        <v>0</v>
      </c>
    </row>
    <row r="433" spans="1:12" ht="15">
      <c r="A433" s="83" t="s">
        <v>1965</v>
      </c>
      <c r="B433" s="88" t="s">
        <v>1944</v>
      </c>
      <c r="C433" s="88">
        <v>15</v>
      </c>
      <c r="D433" s="110">
        <v>0.009120124910390959</v>
      </c>
      <c r="E433" s="110">
        <v>0.9342579115077575</v>
      </c>
      <c r="F433" s="88" t="s">
        <v>1778</v>
      </c>
      <c r="G433" s="88" t="b">
        <v>0</v>
      </c>
      <c r="H433" s="88" t="b">
        <v>0</v>
      </c>
      <c r="I433" s="88" t="b">
        <v>0</v>
      </c>
      <c r="J433" s="88" t="b">
        <v>0</v>
      </c>
      <c r="K433" s="88" t="b">
        <v>0</v>
      </c>
      <c r="L433" s="88" t="b">
        <v>0</v>
      </c>
    </row>
    <row r="434" spans="1:12" ht="15">
      <c r="A434" s="83" t="s">
        <v>1976</v>
      </c>
      <c r="B434" s="88" t="s">
        <v>1977</v>
      </c>
      <c r="C434" s="88">
        <v>7</v>
      </c>
      <c r="D434" s="110">
        <v>0.009729330939951803</v>
      </c>
      <c r="E434" s="110">
        <v>1.7124091618914012</v>
      </c>
      <c r="F434" s="88" t="s">
        <v>1778</v>
      </c>
      <c r="G434" s="88" t="b">
        <v>0</v>
      </c>
      <c r="H434" s="88" t="b">
        <v>0</v>
      </c>
      <c r="I434" s="88" t="b">
        <v>0</v>
      </c>
      <c r="J434" s="88" t="b">
        <v>0</v>
      </c>
      <c r="K434" s="88" t="b">
        <v>0</v>
      </c>
      <c r="L434" s="88" t="b">
        <v>0</v>
      </c>
    </row>
    <row r="435" spans="1:12" ht="15">
      <c r="A435" s="83" t="s">
        <v>1944</v>
      </c>
      <c r="B435" s="88" t="s">
        <v>1978</v>
      </c>
      <c r="C435" s="88">
        <v>7</v>
      </c>
      <c r="D435" s="110">
        <v>0.009729330939951803</v>
      </c>
      <c r="E435" s="110">
        <v>1.0803859471859956</v>
      </c>
      <c r="F435" s="88" t="s">
        <v>1778</v>
      </c>
      <c r="G435" s="88" t="b">
        <v>0</v>
      </c>
      <c r="H435" s="88" t="b">
        <v>0</v>
      </c>
      <c r="I435" s="88" t="b">
        <v>0</v>
      </c>
      <c r="J435" s="88" t="b">
        <v>0</v>
      </c>
      <c r="K435" s="88" t="b">
        <v>0</v>
      </c>
      <c r="L435" s="88" t="b">
        <v>0</v>
      </c>
    </row>
    <row r="436" spans="1:12" ht="15">
      <c r="A436" s="83" t="s">
        <v>1979</v>
      </c>
      <c r="B436" s="88" t="s">
        <v>1980</v>
      </c>
      <c r="C436" s="88">
        <v>7</v>
      </c>
      <c r="D436" s="110">
        <v>0.009729330939951803</v>
      </c>
      <c r="E436" s="110">
        <v>1.7124091618914012</v>
      </c>
      <c r="F436" s="88" t="s">
        <v>1778</v>
      </c>
      <c r="G436" s="88" t="b">
        <v>0</v>
      </c>
      <c r="H436" s="88" t="b">
        <v>0</v>
      </c>
      <c r="I436" s="88" t="b">
        <v>0</v>
      </c>
      <c r="J436" s="88" t="b">
        <v>0</v>
      </c>
      <c r="K436" s="88" t="b">
        <v>0</v>
      </c>
      <c r="L436" s="88" t="b">
        <v>0</v>
      </c>
    </row>
    <row r="437" spans="1:12" ht="15">
      <c r="A437" s="83" t="s">
        <v>1977</v>
      </c>
      <c r="B437" s="88" t="s">
        <v>1981</v>
      </c>
      <c r="C437" s="88">
        <v>6</v>
      </c>
      <c r="D437" s="110">
        <v>0.009382753111604608</v>
      </c>
      <c r="E437" s="110">
        <v>1.7124091618914012</v>
      </c>
      <c r="F437" s="88" t="s">
        <v>1778</v>
      </c>
      <c r="G437" s="88" t="b">
        <v>0</v>
      </c>
      <c r="H437" s="88" t="b">
        <v>0</v>
      </c>
      <c r="I437" s="88" t="b">
        <v>0</v>
      </c>
      <c r="J437" s="88" t="b">
        <v>0</v>
      </c>
      <c r="K437" s="88" t="b">
        <v>0</v>
      </c>
      <c r="L437" s="88" t="b">
        <v>0</v>
      </c>
    </row>
    <row r="438" spans="1:12" ht="15">
      <c r="A438" s="83" t="s">
        <v>1981</v>
      </c>
      <c r="B438" s="88" t="s">
        <v>1964</v>
      </c>
      <c r="C438" s="88">
        <v>6</v>
      </c>
      <c r="D438" s="110">
        <v>0.009382753111604608</v>
      </c>
      <c r="E438" s="110">
        <v>1.2352879071717386</v>
      </c>
      <c r="F438" s="88" t="s">
        <v>1778</v>
      </c>
      <c r="G438" s="88" t="b">
        <v>0</v>
      </c>
      <c r="H438" s="88" t="b">
        <v>0</v>
      </c>
      <c r="I438" s="88" t="b">
        <v>0</v>
      </c>
      <c r="J438" s="88" t="b">
        <v>0</v>
      </c>
      <c r="K438" s="88" t="b">
        <v>0</v>
      </c>
      <c r="L438" s="88" t="b">
        <v>0</v>
      </c>
    </row>
    <row r="439" spans="1:12" ht="15">
      <c r="A439" s="83" t="s">
        <v>1978</v>
      </c>
      <c r="B439" s="88" t="s">
        <v>1982</v>
      </c>
      <c r="C439" s="88">
        <v>6</v>
      </c>
      <c r="D439" s="110">
        <v>0.009382753111604608</v>
      </c>
      <c r="E439" s="110">
        <v>1.7124091618914012</v>
      </c>
      <c r="F439" s="88" t="s">
        <v>1778</v>
      </c>
      <c r="G439" s="88" t="b">
        <v>0</v>
      </c>
      <c r="H439" s="88" t="b">
        <v>0</v>
      </c>
      <c r="I439" s="88" t="b">
        <v>0</v>
      </c>
      <c r="J439" s="88" t="b">
        <v>0</v>
      </c>
      <c r="K439" s="88" t="b">
        <v>0</v>
      </c>
      <c r="L439" s="88" t="b">
        <v>0</v>
      </c>
    </row>
    <row r="440" spans="1:12" ht="15">
      <c r="A440" s="83" t="s">
        <v>1982</v>
      </c>
      <c r="B440" s="88" t="s">
        <v>1979</v>
      </c>
      <c r="C440" s="88">
        <v>6</v>
      </c>
      <c r="D440" s="110">
        <v>0.009382753111604608</v>
      </c>
      <c r="E440" s="110">
        <v>1.7124091618914012</v>
      </c>
      <c r="F440" s="88" t="s">
        <v>1778</v>
      </c>
      <c r="G440" s="88" t="b">
        <v>0</v>
      </c>
      <c r="H440" s="88" t="b">
        <v>0</v>
      </c>
      <c r="I440" s="88" t="b">
        <v>0</v>
      </c>
      <c r="J440" s="88" t="b">
        <v>0</v>
      </c>
      <c r="K440" s="88" t="b">
        <v>0</v>
      </c>
      <c r="L440" s="88" t="b">
        <v>0</v>
      </c>
    </row>
    <row r="441" spans="1:12" ht="15">
      <c r="A441" s="83" t="s">
        <v>1970</v>
      </c>
      <c r="B441" s="88" t="s">
        <v>1965</v>
      </c>
      <c r="C441" s="88">
        <v>5</v>
      </c>
      <c r="D441" s="110">
        <v>0.010105860394592775</v>
      </c>
      <c r="E441" s="110">
        <v>1.2150845210834516</v>
      </c>
      <c r="F441" s="88" t="s">
        <v>1778</v>
      </c>
      <c r="G441" s="88" t="b">
        <v>0</v>
      </c>
      <c r="H441" s="88" t="b">
        <v>0</v>
      </c>
      <c r="I441" s="88" t="b">
        <v>0</v>
      </c>
      <c r="J441" s="88" t="b">
        <v>0</v>
      </c>
      <c r="K441" s="88" t="b">
        <v>0</v>
      </c>
      <c r="L441" s="88" t="b">
        <v>0</v>
      </c>
    </row>
    <row r="442" spans="1:12" ht="15">
      <c r="A442" s="83" t="s">
        <v>1964</v>
      </c>
      <c r="B442" s="88" t="s">
        <v>1967</v>
      </c>
      <c r="C442" s="88">
        <v>3</v>
      </c>
      <c r="D442" s="110">
        <v>0.008409204514656817</v>
      </c>
      <c r="E442" s="110">
        <v>0.9739306162717086</v>
      </c>
      <c r="F442" s="88" t="s">
        <v>1778</v>
      </c>
      <c r="G442" s="88" t="b">
        <v>0</v>
      </c>
      <c r="H442" s="88" t="b">
        <v>0</v>
      </c>
      <c r="I442" s="88" t="b">
        <v>0</v>
      </c>
      <c r="J442" s="88" t="b">
        <v>0</v>
      </c>
      <c r="K442" s="88" t="b">
        <v>0</v>
      </c>
      <c r="L442" s="88" t="b">
        <v>0</v>
      </c>
    </row>
    <row r="443" spans="1:12" ht="15">
      <c r="A443" s="83" t="s">
        <v>1967</v>
      </c>
      <c r="B443" s="88" t="s">
        <v>1944</v>
      </c>
      <c r="C443" s="88">
        <v>3</v>
      </c>
      <c r="D443" s="110">
        <v>0.007037064833703456</v>
      </c>
      <c r="E443" s="110">
        <v>0.8585371975696392</v>
      </c>
      <c r="F443" s="88" t="s">
        <v>1778</v>
      </c>
      <c r="G443" s="88" t="b">
        <v>0</v>
      </c>
      <c r="H443" s="88" t="b">
        <v>0</v>
      </c>
      <c r="I443" s="88" t="b">
        <v>0</v>
      </c>
      <c r="J443" s="88" t="b">
        <v>0</v>
      </c>
      <c r="K443" s="88" t="b">
        <v>0</v>
      </c>
      <c r="L443" s="88" t="b">
        <v>0</v>
      </c>
    </row>
    <row r="444" spans="1:12" ht="15">
      <c r="A444" s="83" t="s">
        <v>2674</v>
      </c>
      <c r="B444" s="88" t="s">
        <v>2675</v>
      </c>
      <c r="C444" s="88">
        <v>2</v>
      </c>
      <c r="D444" s="110">
        <v>0.005606136343104545</v>
      </c>
      <c r="E444" s="110">
        <v>2.256477206241677</v>
      </c>
      <c r="F444" s="88" t="s">
        <v>1778</v>
      </c>
      <c r="G444" s="88" t="b">
        <v>0</v>
      </c>
      <c r="H444" s="88" t="b">
        <v>0</v>
      </c>
      <c r="I444" s="88" t="b">
        <v>0</v>
      </c>
      <c r="J444" s="88" t="b">
        <v>0</v>
      </c>
      <c r="K444" s="88" t="b">
        <v>0</v>
      </c>
      <c r="L444" s="88" t="b">
        <v>0</v>
      </c>
    </row>
    <row r="445" spans="1:12" ht="15">
      <c r="A445" s="83" t="s">
        <v>2675</v>
      </c>
      <c r="B445" s="88" t="s">
        <v>2676</v>
      </c>
      <c r="C445" s="88">
        <v>2</v>
      </c>
      <c r="D445" s="110">
        <v>0.005606136343104545</v>
      </c>
      <c r="E445" s="110">
        <v>2.256477206241677</v>
      </c>
      <c r="F445" s="88" t="s">
        <v>1778</v>
      </c>
      <c r="G445" s="88" t="b">
        <v>0</v>
      </c>
      <c r="H445" s="88" t="b">
        <v>0</v>
      </c>
      <c r="I445" s="88" t="b">
        <v>0</v>
      </c>
      <c r="J445" s="88" t="b">
        <v>0</v>
      </c>
      <c r="K445" s="88" t="b">
        <v>0</v>
      </c>
      <c r="L445" s="88" t="b">
        <v>0</v>
      </c>
    </row>
    <row r="446" spans="1:12" ht="15">
      <c r="A446" s="83" t="s">
        <v>1944</v>
      </c>
      <c r="B446" s="88" t="s">
        <v>1969</v>
      </c>
      <c r="C446" s="88">
        <v>2</v>
      </c>
      <c r="D446" s="110">
        <v>0.005606136343104545</v>
      </c>
      <c r="E446" s="110">
        <v>0.9042946881303142</v>
      </c>
      <c r="F446" s="88" t="s">
        <v>1778</v>
      </c>
      <c r="G446" s="88" t="b">
        <v>0</v>
      </c>
      <c r="H446" s="88" t="b">
        <v>0</v>
      </c>
      <c r="I446" s="88" t="b">
        <v>0</v>
      </c>
      <c r="J446" s="88" t="b">
        <v>0</v>
      </c>
      <c r="K446" s="88" t="b">
        <v>0</v>
      </c>
      <c r="L446" s="88" t="b">
        <v>0</v>
      </c>
    </row>
    <row r="447" spans="1:12" ht="15">
      <c r="A447" s="83" t="s">
        <v>1980</v>
      </c>
      <c r="B447" s="88" t="s">
        <v>2618</v>
      </c>
      <c r="C447" s="88">
        <v>2</v>
      </c>
      <c r="D447" s="110">
        <v>0.005606136343104545</v>
      </c>
      <c r="E447" s="110">
        <v>1.9554472105776954</v>
      </c>
      <c r="F447" s="88" t="s">
        <v>1778</v>
      </c>
      <c r="G447" s="88" t="b">
        <v>0</v>
      </c>
      <c r="H447" s="88" t="b">
        <v>0</v>
      </c>
      <c r="I447" s="88" t="b">
        <v>0</v>
      </c>
      <c r="J447" s="88" t="b">
        <v>0</v>
      </c>
      <c r="K447" s="88" t="b">
        <v>0</v>
      </c>
      <c r="L447" s="88" t="b">
        <v>0</v>
      </c>
    </row>
    <row r="448" spans="1:12" ht="15">
      <c r="A448" s="83" t="s">
        <v>1944</v>
      </c>
      <c r="B448" s="88" t="s">
        <v>1964</v>
      </c>
      <c r="C448" s="88">
        <v>2</v>
      </c>
      <c r="D448" s="110">
        <v>0.005606136343104545</v>
      </c>
      <c r="E448" s="110">
        <v>0.05919664811605747</v>
      </c>
      <c r="F448" s="88" t="s">
        <v>1778</v>
      </c>
      <c r="G448" s="88" t="b">
        <v>0</v>
      </c>
      <c r="H448" s="88" t="b">
        <v>0</v>
      </c>
      <c r="I448" s="88" t="b">
        <v>0</v>
      </c>
      <c r="J448" s="88" t="b">
        <v>0</v>
      </c>
      <c r="K448" s="88" t="b">
        <v>0</v>
      </c>
      <c r="L448" s="88" t="b">
        <v>0</v>
      </c>
    </row>
    <row r="449" spans="1:12" ht="15">
      <c r="A449" s="83" t="s">
        <v>1964</v>
      </c>
      <c r="B449" s="88" t="s">
        <v>1965</v>
      </c>
      <c r="C449" s="88">
        <v>9</v>
      </c>
      <c r="D449" s="110">
        <v>0.008579769605314378</v>
      </c>
      <c r="E449" s="110">
        <v>1.6080503550171499</v>
      </c>
      <c r="F449" s="88" t="s">
        <v>1779</v>
      </c>
      <c r="G449" s="88" t="b">
        <v>0</v>
      </c>
      <c r="H449" s="88" t="b">
        <v>0</v>
      </c>
      <c r="I449" s="88" t="b">
        <v>0</v>
      </c>
      <c r="J449" s="88" t="b">
        <v>0</v>
      </c>
      <c r="K449" s="88" t="b">
        <v>0</v>
      </c>
      <c r="L449" s="88" t="b">
        <v>0</v>
      </c>
    </row>
    <row r="450" spans="1:12" ht="15">
      <c r="A450" s="83" t="s">
        <v>2444</v>
      </c>
      <c r="B450" s="88" t="s">
        <v>2478</v>
      </c>
      <c r="C450" s="88">
        <v>4</v>
      </c>
      <c r="D450" s="110">
        <v>0.00746279070887002</v>
      </c>
      <c r="E450" s="110">
        <v>1.9602328731285124</v>
      </c>
      <c r="F450" s="88" t="s">
        <v>1779</v>
      </c>
      <c r="G450" s="88" t="b">
        <v>0</v>
      </c>
      <c r="H450" s="88" t="b">
        <v>0</v>
      </c>
      <c r="I450" s="88" t="b">
        <v>0</v>
      </c>
      <c r="J450" s="88" t="b">
        <v>0</v>
      </c>
      <c r="K450" s="88" t="b">
        <v>0</v>
      </c>
      <c r="L450" s="88" t="b">
        <v>0</v>
      </c>
    </row>
    <row r="451" spans="1:12" ht="15">
      <c r="A451" s="83" t="s">
        <v>2478</v>
      </c>
      <c r="B451" s="88" t="s">
        <v>2479</v>
      </c>
      <c r="C451" s="88">
        <v>4</v>
      </c>
      <c r="D451" s="110">
        <v>0.00746279070887002</v>
      </c>
      <c r="E451" s="110">
        <v>1.9602328731285124</v>
      </c>
      <c r="F451" s="88" t="s">
        <v>1779</v>
      </c>
      <c r="G451" s="88" t="b">
        <v>0</v>
      </c>
      <c r="H451" s="88" t="b">
        <v>0</v>
      </c>
      <c r="I451" s="88" t="b">
        <v>0</v>
      </c>
      <c r="J451" s="88" t="b">
        <v>0</v>
      </c>
      <c r="K451" s="88" t="b">
        <v>0</v>
      </c>
      <c r="L451" s="88" t="b">
        <v>0</v>
      </c>
    </row>
    <row r="452" spans="1:12" ht="15">
      <c r="A452" s="83" t="s">
        <v>2479</v>
      </c>
      <c r="B452" s="88" t="s">
        <v>2480</v>
      </c>
      <c r="C452" s="88">
        <v>4</v>
      </c>
      <c r="D452" s="110">
        <v>0.00746279070887002</v>
      </c>
      <c r="E452" s="110">
        <v>1.9602328731285124</v>
      </c>
      <c r="F452" s="88" t="s">
        <v>1779</v>
      </c>
      <c r="G452" s="88" t="b">
        <v>0</v>
      </c>
      <c r="H452" s="88" t="b">
        <v>0</v>
      </c>
      <c r="I452" s="88" t="b">
        <v>0</v>
      </c>
      <c r="J452" s="88" t="b">
        <v>0</v>
      </c>
      <c r="K452" s="88" t="b">
        <v>0</v>
      </c>
      <c r="L452" s="88" t="b">
        <v>0</v>
      </c>
    </row>
    <row r="453" spans="1:12" ht="15">
      <c r="A453" s="83" t="s">
        <v>2480</v>
      </c>
      <c r="B453" s="88" t="s">
        <v>2481</v>
      </c>
      <c r="C453" s="88">
        <v>4</v>
      </c>
      <c r="D453" s="110">
        <v>0.00746279070887002</v>
      </c>
      <c r="E453" s="110">
        <v>1.9602328731285124</v>
      </c>
      <c r="F453" s="88" t="s">
        <v>1779</v>
      </c>
      <c r="G453" s="88" t="b">
        <v>0</v>
      </c>
      <c r="H453" s="88" t="b">
        <v>0</v>
      </c>
      <c r="I453" s="88" t="b">
        <v>0</v>
      </c>
      <c r="J453" s="88" t="b">
        <v>0</v>
      </c>
      <c r="K453" s="88" t="b">
        <v>0</v>
      </c>
      <c r="L453" s="88" t="b">
        <v>0</v>
      </c>
    </row>
    <row r="454" spans="1:12" ht="15">
      <c r="A454" s="83" t="s">
        <v>2481</v>
      </c>
      <c r="B454" s="88" t="s">
        <v>2482</v>
      </c>
      <c r="C454" s="88">
        <v>4</v>
      </c>
      <c r="D454" s="110">
        <v>0.00746279070887002</v>
      </c>
      <c r="E454" s="110">
        <v>1.9602328731285124</v>
      </c>
      <c r="F454" s="88" t="s">
        <v>1779</v>
      </c>
      <c r="G454" s="88" t="b">
        <v>0</v>
      </c>
      <c r="H454" s="88" t="b">
        <v>0</v>
      </c>
      <c r="I454" s="88" t="b">
        <v>0</v>
      </c>
      <c r="J454" s="88" t="b">
        <v>0</v>
      </c>
      <c r="K454" s="88" t="b">
        <v>0</v>
      </c>
      <c r="L454" s="88" t="b">
        <v>0</v>
      </c>
    </row>
    <row r="455" spans="1:12" ht="15">
      <c r="A455" s="83" t="s">
        <v>2482</v>
      </c>
      <c r="B455" s="88" t="s">
        <v>2483</v>
      </c>
      <c r="C455" s="88">
        <v>4</v>
      </c>
      <c r="D455" s="110">
        <v>0.00746279070887002</v>
      </c>
      <c r="E455" s="110">
        <v>1.9602328731285124</v>
      </c>
      <c r="F455" s="88" t="s">
        <v>1779</v>
      </c>
      <c r="G455" s="88" t="b">
        <v>0</v>
      </c>
      <c r="H455" s="88" t="b">
        <v>0</v>
      </c>
      <c r="I455" s="88" t="b">
        <v>0</v>
      </c>
      <c r="J455" s="88" t="b">
        <v>0</v>
      </c>
      <c r="K455" s="88" t="b">
        <v>0</v>
      </c>
      <c r="L455" s="88" t="b">
        <v>0</v>
      </c>
    </row>
    <row r="456" spans="1:12" ht="15">
      <c r="A456" s="83" t="s">
        <v>2483</v>
      </c>
      <c r="B456" s="88" t="s">
        <v>2484</v>
      </c>
      <c r="C456" s="88">
        <v>4</v>
      </c>
      <c r="D456" s="110">
        <v>0.00746279070887002</v>
      </c>
      <c r="E456" s="110">
        <v>1.9602328731285124</v>
      </c>
      <c r="F456" s="88" t="s">
        <v>1779</v>
      </c>
      <c r="G456" s="88" t="b">
        <v>0</v>
      </c>
      <c r="H456" s="88" t="b">
        <v>0</v>
      </c>
      <c r="I456" s="88" t="b">
        <v>0</v>
      </c>
      <c r="J456" s="88" t="b">
        <v>0</v>
      </c>
      <c r="K456" s="88" t="b">
        <v>0</v>
      </c>
      <c r="L456" s="88" t="b">
        <v>0</v>
      </c>
    </row>
    <row r="457" spans="1:12" ht="15">
      <c r="A457" s="83" t="s">
        <v>2484</v>
      </c>
      <c r="B457" s="88" t="s">
        <v>2467</v>
      </c>
      <c r="C457" s="88">
        <v>4</v>
      </c>
      <c r="D457" s="110">
        <v>0.00746279070887002</v>
      </c>
      <c r="E457" s="110">
        <v>1.9602328731285124</v>
      </c>
      <c r="F457" s="88" t="s">
        <v>1779</v>
      </c>
      <c r="G457" s="88" t="b">
        <v>0</v>
      </c>
      <c r="H457" s="88" t="b">
        <v>0</v>
      </c>
      <c r="I457" s="88" t="b">
        <v>0</v>
      </c>
      <c r="J457" s="88" t="b">
        <v>1</v>
      </c>
      <c r="K457" s="88" t="b">
        <v>0</v>
      </c>
      <c r="L457" s="88" t="b">
        <v>0</v>
      </c>
    </row>
    <row r="458" spans="1:12" ht="15">
      <c r="A458" s="83" t="s">
        <v>2467</v>
      </c>
      <c r="B458" s="88" t="s">
        <v>1967</v>
      </c>
      <c r="C458" s="88">
        <v>4</v>
      </c>
      <c r="D458" s="110">
        <v>0.00746279070887002</v>
      </c>
      <c r="E458" s="110">
        <v>1.863322860120456</v>
      </c>
      <c r="F458" s="88" t="s">
        <v>1779</v>
      </c>
      <c r="G458" s="88" t="b">
        <v>1</v>
      </c>
      <c r="H458" s="88" t="b">
        <v>0</v>
      </c>
      <c r="I458" s="88" t="b">
        <v>0</v>
      </c>
      <c r="J458" s="88" t="b">
        <v>0</v>
      </c>
      <c r="K458" s="88" t="b">
        <v>0</v>
      </c>
      <c r="L458" s="88" t="b">
        <v>0</v>
      </c>
    </row>
    <row r="459" spans="1:12" ht="15">
      <c r="A459" s="83" t="s">
        <v>1967</v>
      </c>
      <c r="B459" s="88" t="s">
        <v>1964</v>
      </c>
      <c r="C459" s="88">
        <v>4</v>
      </c>
      <c r="D459" s="110">
        <v>0.00746279070887002</v>
      </c>
      <c r="E459" s="110">
        <v>1.5622928644564746</v>
      </c>
      <c r="F459" s="88" t="s">
        <v>1779</v>
      </c>
      <c r="G459" s="88" t="b">
        <v>0</v>
      </c>
      <c r="H459" s="88" t="b">
        <v>0</v>
      </c>
      <c r="I459" s="88" t="b">
        <v>0</v>
      </c>
      <c r="J459" s="88" t="b">
        <v>0</v>
      </c>
      <c r="K459" s="88" t="b">
        <v>0</v>
      </c>
      <c r="L459" s="88" t="b">
        <v>0</v>
      </c>
    </row>
    <row r="460" spans="1:12" ht="15">
      <c r="A460" s="83" t="s">
        <v>1965</v>
      </c>
      <c r="B460" s="88" t="s">
        <v>1997</v>
      </c>
      <c r="C460" s="88">
        <v>4</v>
      </c>
      <c r="D460" s="110">
        <v>0.00746279070887002</v>
      </c>
      <c r="E460" s="110">
        <v>1.6080503550171499</v>
      </c>
      <c r="F460" s="88" t="s">
        <v>1779</v>
      </c>
      <c r="G460" s="88" t="b">
        <v>0</v>
      </c>
      <c r="H460" s="88" t="b">
        <v>0</v>
      </c>
      <c r="I460" s="88" t="b">
        <v>0</v>
      </c>
      <c r="J460" s="88" t="b">
        <v>0</v>
      </c>
      <c r="K460" s="88" t="b">
        <v>0</v>
      </c>
      <c r="L460" s="88" t="b">
        <v>0</v>
      </c>
    </row>
    <row r="461" spans="1:12" ht="15">
      <c r="A461" s="83" t="s">
        <v>1997</v>
      </c>
      <c r="B461" s="88" t="s">
        <v>1944</v>
      </c>
      <c r="C461" s="88">
        <v>4</v>
      </c>
      <c r="D461" s="110">
        <v>0.00746279070887002</v>
      </c>
      <c r="E461" s="110">
        <v>1.4161648287782367</v>
      </c>
      <c r="F461" s="88" t="s">
        <v>1779</v>
      </c>
      <c r="G461" s="88" t="b">
        <v>0</v>
      </c>
      <c r="H461" s="88" t="b">
        <v>0</v>
      </c>
      <c r="I461" s="88" t="b">
        <v>0</v>
      </c>
      <c r="J461" s="88" t="b">
        <v>0</v>
      </c>
      <c r="K461" s="88" t="b">
        <v>0</v>
      </c>
      <c r="L461" s="88" t="b">
        <v>0</v>
      </c>
    </row>
    <row r="462" spans="1:12" ht="15">
      <c r="A462" s="83" t="s">
        <v>1944</v>
      </c>
      <c r="B462" s="88" t="s">
        <v>2485</v>
      </c>
      <c r="C462" s="88">
        <v>4</v>
      </c>
      <c r="D462" s="110">
        <v>0.00746279070887002</v>
      </c>
      <c r="E462" s="110">
        <v>1.4161648287782367</v>
      </c>
      <c r="F462" s="88" t="s">
        <v>1779</v>
      </c>
      <c r="G462" s="88" t="b">
        <v>0</v>
      </c>
      <c r="H462" s="88" t="b">
        <v>0</v>
      </c>
      <c r="I462" s="88" t="b">
        <v>0</v>
      </c>
      <c r="J462" s="88" t="b">
        <v>0</v>
      </c>
      <c r="K462" s="88" t="b">
        <v>0</v>
      </c>
      <c r="L462" s="88" t="b">
        <v>0</v>
      </c>
    </row>
    <row r="463" spans="1:12" ht="15">
      <c r="A463" s="83" t="s">
        <v>2485</v>
      </c>
      <c r="B463" s="88" t="s">
        <v>2468</v>
      </c>
      <c r="C463" s="88">
        <v>4</v>
      </c>
      <c r="D463" s="110">
        <v>0.00746279070887002</v>
      </c>
      <c r="E463" s="110">
        <v>1.9602328731285124</v>
      </c>
      <c r="F463" s="88" t="s">
        <v>1779</v>
      </c>
      <c r="G463" s="88" t="b">
        <v>0</v>
      </c>
      <c r="H463" s="88" t="b">
        <v>0</v>
      </c>
      <c r="I463" s="88" t="b">
        <v>0</v>
      </c>
      <c r="J463" s="88" t="b">
        <v>0</v>
      </c>
      <c r="K463" s="88" t="b">
        <v>0</v>
      </c>
      <c r="L463" s="88" t="b">
        <v>0</v>
      </c>
    </row>
    <row r="464" spans="1:12" ht="15">
      <c r="A464" s="83" t="s">
        <v>2468</v>
      </c>
      <c r="B464" s="88" t="s">
        <v>2486</v>
      </c>
      <c r="C464" s="88">
        <v>4</v>
      </c>
      <c r="D464" s="110">
        <v>0.00746279070887002</v>
      </c>
      <c r="E464" s="110">
        <v>1.9602328731285124</v>
      </c>
      <c r="F464" s="88" t="s">
        <v>1779</v>
      </c>
      <c r="G464" s="88" t="b">
        <v>0</v>
      </c>
      <c r="H464" s="88" t="b">
        <v>0</v>
      </c>
      <c r="I464" s="88" t="b">
        <v>0</v>
      </c>
      <c r="J464" s="88" t="b">
        <v>0</v>
      </c>
      <c r="K464" s="88" t="b">
        <v>0</v>
      </c>
      <c r="L464" s="88" t="b">
        <v>0</v>
      </c>
    </row>
    <row r="465" spans="1:12" ht="15">
      <c r="A465" s="83" t="s">
        <v>2486</v>
      </c>
      <c r="B465" s="88" t="s">
        <v>381</v>
      </c>
      <c r="C465" s="88">
        <v>4</v>
      </c>
      <c r="D465" s="110">
        <v>0.00746279070887002</v>
      </c>
      <c r="E465" s="110">
        <v>1.9602328731285124</v>
      </c>
      <c r="F465" s="88" t="s">
        <v>1779</v>
      </c>
      <c r="G465" s="88" t="b">
        <v>0</v>
      </c>
      <c r="H465" s="88" t="b">
        <v>0</v>
      </c>
      <c r="I465" s="88" t="b">
        <v>0</v>
      </c>
      <c r="J465" s="88" t="b">
        <v>0</v>
      </c>
      <c r="K465" s="88" t="b">
        <v>0</v>
      </c>
      <c r="L465" s="88" t="b">
        <v>0</v>
      </c>
    </row>
    <row r="466" spans="1:12" ht="15">
      <c r="A466" s="83" t="s">
        <v>381</v>
      </c>
      <c r="B466" s="88" t="s">
        <v>380</v>
      </c>
      <c r="C466" s="88">
        <v>4</v>
      </c>
      <c r="D466" s="110">
        <v>0.00746279070887002</v>
      </c>
      <c r="E466" s="110">
        <v>1.9602328731285124</v>
      </c>
      <c r="F466" s="88" t="s">
        <v>1779</v>
      </c>
      <c r="G466" s="88" t="b">
        <v>0</v>
      </c>
      <c r="H466" s="88" t="b">
        <v>0</v>
      </c>
      <c r="I466" s="88" t="b">
        <v>0</v>
      </c>
      <c r="J466" s="88" t="b">
        <v>0</v>
      </c>
      <c r="K466" s="88" t="b">
        <v>0</v>
      </c>
      <c r="L466" s="88" t="b">
        <v>0</v>
      </c>
    </row>
    <row r="467" spans="1:12" ht="15">
      <c r="A467" s="83" t="s">
        <v>380</v>
      </c>
      <c r="B467" s="88" t="s">
        <v>1984</v>
      </c>
      <c r="C467" s="88">
        <v>4</v>
      </c>
      <c r="D467" s="110">
        <v>0.00746279070887002</v>
      </c>
      <c r="E467" s="110">
        <v>1.5209001792982497</v>
      </c>
      <c r="F467" s="88" t="s">
        <v>1779</v>
      </c>
      <c r="G467" s="88" t="b">
        <v>0</v>
      </c>
      <c r="H467" s="88" t="b">
        <v>0</v>
      </c>
      <c r="I467" s="88" t="b">
        <v>0</v>
      </c>
      <c r="J467" s="88" t="b">
        <v>0</v>
      </c>
      <c r="K467" s="88" t="b">
        <v>0</v>
      </c>
      <c r="L467" s="88" t="b">
        <v>0</v>
      </c>
    </row>
    <row r="468" spans="1:12" ht="15">
      <c r="A468" s="83" t="s">
        <v>1984</v>
      </c>
      <c r="B468" s="88" t="s">
        <v>2487</v>
      </c>
      <c r="C468" s="88">
        <v>4</v>
      </c>
      <c r="D468" s="110">
        <v>0.00746279070887002</v>
      </c>
      <c r="E468" s="110">
        <v>1.5209001792982497</v>
      </c>
      <c r="F468" s="88" t="s">
        <v>1779</v>
      </c>
      <c r="G468" s="88" t="b">
        <v>0</v>
      </c>
      <c r="H468" s="88" t="b">
        <v>0</v>
      </c>
      <c r="I468" s="88" t="b">
        <v>0</v>
      </c>
      <c r="J468" s="88" t="b">
        <v>1</v>
      </c>
      <c r="K468" s="88" t="b">
        <v>0</v>
      </c>
      <c r="L468" s="88" t="b">
        <v>0</v>
      </c>
    </row>
    <row r="469" spans="1:12" ht="15">
      <c r="A469" s="83" t="s">
        <v>2487</v>
      </c>
      <c r="B469" s="88" t="s">
        <v>2488</v>
      </c>
      <c r="C469" s="88">
        <v>4</v>
      </c>
      <c r="D469" s="110">
        <v>0.00746279070887002</v>
      </c>
      <c r="E469" s="110">
        <v>1.9602328731285124</v>
      </c>
      <c r="F469" s="88" t="s">
        <v>1779</v>
      </c>
      <c r="G469" s="88" t="b">
        <v>1</v>
      </c>
      <c r="H469" s="88" t="b">
        <v>0</v>
      </c>
      <c r="I469" s="88" t="b">
        <v>0</v>
      </c>
      <c r="J469" s="88" t="b">
        <v>1</v>
      </c>
      <c r="K469" s="88" t="b">
        <v>0</v>
      </c>
      <c r="L469" s="88" t="b">
        <v>0</v>
      </c>
    </row>
    <row r="470" spans="1:12" ht="15">
      <c r="A470" s="83" t="s">
        <v>2488</v>
      </c>
      <c r="B470" s="88" t="s">
        <v>1986</v>
      </c>
      <c r="C470" s="88">
        <v>4</v>
      </c>
      <c r="D470" s="110">
        <v>0.00746279070887002</v>
      </c>
      <c r="E470" s="110">
        <v>1.717194824442218</v>
      </c>
      <c r="F470" s="88" t="s">
        <v>1779</v>
      </c>
      <c r="G470" s="88" t="b">
        <v>1</v>
      </c>
      <c r="H470" s="88" t="b">
        <v>0</v>
      </c>
      <c r="I470" s="88" t="b">
        <v>0</v>
      </c>
      <c r="J470" s="88" t="b">
        <v>0</v>
      </c>
      <c r="K470" s="88" t="b">
        <v>0</v>
      </c>
      <c r="L470" s="88" t="b">
        <v>0</v>
      </c>
    </row>
    <row r="471" spans="1:12" ht="15">
      <c r="A471" s="83" t="s">
        <v>1986</v>
      </c>
      <c r="B471" s="88" t="s">
        <v>2489</v>
      </c>
      <c r="C471" s="88">
        <v>4</v>
      </c>
      <c r="D471" s="110">
        <v>0.00746279070887002</v>
      </c>
      <c r="E471" s="110">
        <v>1.717194824442218</v>
      </c>
      <c r="F471" s="88" t="s">
        <v>1779</v>
      </c>
      <c r="G471" s="88" t="b">
        <v>0</v>
      </c>
      <c r="H471" s="88" t="b">
        <v>0</v>
      </c>
      <c r="I471" s="88" t="b">
        <v>0</v>
      </c>
      <c r="J471" s="88" t="b">
        <v>0</v>
      </c>
      <c r="K471" s="88" t="b">
        <v>0</v>
      </c>
      <c r="L471" s="88" t="b">
        <v>0</v>
      </c>
    </row>
    <row r="472" spans="1:12" ht="15">
      <c r="A472" s="83" t="s">
        <v>2524</v>
      </c>
      <c r="B472" s="88" t="s">
        <v>2525</v>
      </c>
      <c r="C472" s="88">
        <v>3</v>
      </c>
      <c r="D472" s="110">
        <v>0.006568119481976089</v>
      </c>
      <c r="E472" s="110">
        <v>2.0851716097368125</v>
      </c>
      <c r="F472" s="88" t="s">
        <v>1779</v>
      </c>
      <c r="G472" s="88" t="b">
        <v>0</v>
      </c>
      <c r="H472" s="88" t="b">
        <v>0</v>
      </c>
      <c r="I472" s="88" t="b">
        <v>0</v>
      </c>
      <c r="J472" s="88" t="b">
        <v>0</v>
      </c>
      <c r="K472" s="88" t="b">
        <v>0</v>
      </c>
      <c r="L472" s="88" t="b">
        <v>0</v>
      </c>
    </row>
    <row r="473" spans="1:12" ht="15">
      <c r="A473" s="83" t="s">
        <v>2525</v>
      </c>
      <c r="B473" s="88" t="s">
        <v>2526</v>
      </c>
      <c r="C473" s="88">
        <v>3</v>
      </c>
      <c r="D473" s="110">
        <v>0.006568119481976089</v>
      </c>
      <c r="E473" s="110">
        <v>2.0851716097368125</v>
      </c>
      <c r="F473" s="88" t="s">
        <v>1779</v>
      </c>
      <c r="G473" s="88" t="b">
        <v>0</v>
      </c>
      <c r="H473" s="88" t="b">
        <v>0</v>
      </c>
      <c r="I473" s="88" t="b">
        <v>0</v>
      </c>
      <c r="J473" s="88" t="b">
        <v>0</v>
      </c>
      <c r="K473" s="88" t="b">
        <v>0</v>
      </c>
      <c r="L473" s="88" t="b">
        <v>0</v>
      </c>
    </row>
    <row r="474" spans="1:12" ht="15">
      <c r="A474" s="83" t="s">
        <v>2526</v>
      </c>
      <c r="B474" s="88" t="s">
        <v>1987</v>
      </c>
      <c r="C474" s="88">
        <v>3</v>
      </c>
      <c r="D474" s="110">
        <v>0.006568119481976089</v>
      </c>
      <c r="E474" s="110">
        <v>1.784141614072831</v>
      </c>
      <c r="F474" s="88" t="s">
        <v>1779</v>
      </c>
      <c r="G474" s="88" t="b">
        <v>0</v>
      </c>
      <c r="H474" s="88" t="b">
        <v>0</v>
      </c>
      <c r="I474" s="88" t="b">
        <v>0</v>
      </c>
      <c r="J474" s="88" t="b">
        <v>0</v>
      </c>
      <c r="K474" s="88" t="b">
        <v>0</v>
      </c>
      <c r="L474" s="88" t="b">
        <v>0</v>
      </c>
    </row>
    <row r="475" spans="1:12" ht="15">
      <c r="A475" s="83" t="s">
        <v>1987</v>
      </c>
      <c r="B475" s="88" t="s">
        <v>2434</v>
      </c>
      <c r="C475" s="88">
        <v>3</v>
      </c>
      <c r="D475" s="110">
        <v>0.006568119481976089</v>
      </c>
      <c r="E475" s="110">
        <v>1.784141614072831</v>
      </c>
      <c r="F475" s="88" t="s">
        <v>1779</v>
      </c>
      <c r="G475" s="88" t="b">
        <v>0</v>
      </c>
      <c r="H475" s="88" t="b">
        <v>0</v>
      </c>
      <c r="I475" s="88" t="b">
        <v>0</v>
      </c>
      <c r="J475" s="88" t="b">
        <v>0</v>
      </c>
      <c r="K475" s="88" t="b">
        <v>0</v>
      </c>
      <c r="L475" s="88" t="b">
        <v>0</v>
      </c>
    </row>
    <row r="476" spans="1:12" ht="15">
      <c r="A476" s="83" t="s">
        <v>2434</v>
      </c>
      <c r="B476" s="88" t="s">
        <v>2527</v>
      </c>
      <c r="C476" s="88">
        <v>3</v>
      </c>
      <c r="D476" s="110">
        <v>0.006568119481976089</v>
      </c>
      <c r="E476" s="110">
        <v>2.0851716097368125</v>
      </c>
      <c r="F476" s="88" t="s">
        <v>1779</v>
      </c>
      <c r="G476" s="88" t="b">
        <v>0</v>
      </c>
      <c r="H476" s="88" t="b">
        <v>0</v>
      </c>
      <c r="I476" s="88" t="b">
        <v>0</v>
      </c>
      <c r="J476" s="88" t="b">
        <v>0</v>
      </c>
      <c r="K476" s="88" t="b">
        <v>0</v>
      </c>
      <c r="L476" s="88" t="b">
        <v>0</v>
      </c>
    </row>
    <row r="477" spans="1:12" ht="15">
      <c r="A477" s="83" t="s">
        <v>2527</v>
      </c>
      <c r="B477" s="88" t="s">
        <v>2528</v>
      </c>
      <c r="C477" s="88">
        <v>3</v>
      </c>
      <c r="D477" s="110">
        <v>0.006568119481976089</v>
      </c>
      <c r="E477" s="110">
        <v>2.0851716097368125</v>
      </c>
      <c r="F477" s="88" t="s">
        <v>1779</v>
      </c>
      <c r="G477" s="88" t="b">
        <v>0</v>
      </c>
      <c r="H477" s="88" t="b">
        <v>0</v>
      </c>
      <c r="I477" s="88" t="b">
        <v>0</v>
      </c>
      <c r="J477" s="88" t="b">
        <v>0</v>
      </c>
      <c r="K477" s="88" t="b">
        <v>0</v>
      </c>
      <c r="L477" s="88" t="b">
        <v>0</v>
      </c>
    </row>
    <row r="478" spans="1:12" ht="15">
      <c r="A478" s="83" t="s">
        <v>2528</v>
      </c>
      <c r="B478" s="88" t="s">
        <v>2490</v>
      </c>
      <c r="C478" s="88">
        <v>3</v>
      </c>
      <c r="D478" s="110">
        <v>0.006568119481976089</v>
      </c>
      <c r="E478" s="110">
        <v>2.0851716097368125</v>
      </c>
      <c r="F478" s="88" t="s">
        <v>1779</v>
      </c>
      <c r="G478" s="88" t="b">
        <v>0</v>
      </c>
      <c r="H478" s="88" t="b">
        <v>0</v>
      </c>
      <c r="I478" s="88" t="b">
        <v>0</v>
      </c>
      <c r="J478" s="88" t="b">
        <v>0</v>
      </c>
      <c r="K478" s="88" t="b">
        <v>0</v>
      </c>
      <c r="L478" s="88" t="b">
        <v>0</v>
      </c>
    </row>
    <row r="479" spans="1:12" ht="15">
      <c r="A479" s="83" t="s">
        <v>2490</v>
      </c>
      <c r="B479" s="88" t="s">
        <v>2529</v>
      </c>
      <c r="C479" s="88">
        <v>3</v>
      </c>
      <c r="D479" s="110">
        <v>0.006568119481976089</v>
      </c>
      <c r="E479" s="110">
        <v>2.0851716097368125</v>
      </c>
      <c r="F479" s="88" t="s">
        <v>1779</v>
      </c>
      <c r="G479" s="88" t="b">
        <v>0</v>
      </c>
      <c r="H479" s="88" t="b">
        <v>0</v>
      </c>
      <c r="I479" s="88" t="b">
        <v>0</v>
      </c>
      <c r="J479" s="88" t="b">
        <v>0</v>
      </c>
      <c r="K479" s="88" t="b">
        <v>0</v>
      </c>
      <c r="L479" s="88" t="b">
        <v>0</v>
      </c>
    </row>
    <row r="480" spans="1:12" ht="15">
      <c r="A480" s="83" t="s">
        <v>2529</v>
      </c>
      <c r="B480" s="88" t="s">
        <v>2530</v>
      </c>
      <c r="C480" s="88">
        <v>3</v>
      </c>
      <c r="D480" s="110">
        <v>0.006568119481976089</v>
      </c>
      <c r="E480" s="110">
        <v>2.0851716097368125</v>
      </c>
      <c r="F480" s="88" t="s">
        <v>1779</v>
      </c>
      <c r="G480" s="88" t="b">
        <v>0</v>
      </c>
      <c r="H480" s="88" t="b">
        <v>0</v>
      </c>
      <c r="I480" s="88" t="b">
        <v>0</v>
      </c>
      <c r="J480" s="88" t="b">
        <v>0</v>
      </c>
      <c r="K480" s="88" t="b">
        <v>0</v>
      </c>
      <c r="L480" s="88" t="b">
        <v>0</v>
      </c>
    </row>
    <row r="481" spans="1:12" ht="15">
      <c r="A481" s="83" t="s">
        <v>2530</v>
      </c>
      <c r="B481" s="88" t="s">
        <v>2012</v>
      </c>
      <c r="C481" s="88">
        <v>3</v>
      </c>
      <c r="D481" s="110">
        <v>0.006568119481976089</v>
      </c>
      <c r="E481" s="110">
        <v>1.9602328731285124</v>
      </c>
      <c r="F481" s="88" t="s">
        <v>1779</v>
      </c>
      <c r="G481" s="88" t="b">
        <v>0</v>
      </c>
      <c r="H481" s="88" t="b">
        <v>0</v>
      </c>
      <c r="I481" s="88" t="b">
        <v>0</v>
      </c>
      <c r="J481" s="88" t="b">
        <v>0</v>
      </c>
      <c r="K481" s="88" t="b">
        <v>0</v>
      </c>
      <c r="L481" s="88" t="b">
        <v>0</v>
      </c>
    </row>
    <row r="482" spans="1:12" ht="15">
      <c r="A482" s="83" t="s">
        <v>2012</v>
      </c>
      <c r="B482" s="88" t="s">
        <v>2491</v>
      </c>
      <c r="C482" s="88">
        <v>3</v>
      </c>
      <c r="D482" s="110">
        <v>0.006568119481976089</v>
      </c>
      <c r="E482" s="110">
        <v>1.9602328731285124</v>
      </c>
      <c r="F482" s="88" t="s">
        <v>1779</v>
      </c>
      <c r="G482" s="88" t="b">
        <v>0</v>
      </c>
      <c r="H482" s="88" t="b">
        <v>0</v>
      </c>
      <c r="I482" s="88" t="b">
        <v>0</v>
      </c>
      <c r="J482" s="88" t="b">
        <v>0</v>
      </c>
      <c r="K482" s="88" t="b">
        <v>0</v>
      </c>
      <c r="L482" s="88" t="b">
        <v>0</v>
      </c>
    </row>
    <row r="483" spans="1:12" ht="15">
      <c r="A483" s="83" t="s">
        <v>2491</v>
      </c>
      <c r="B483" s="88" t="s">
        <v>2531</v>
      </c>
      <c r="C483" s="88">
        <v>3</v>
      </c>
      <c r="D483" s="110">
        <v>0.006568119481976089</v>
      </c>
      <c r="E483" s="110">
        <v>2.0851716097368125</v>
      </c>
      <c r="F483" s="88" t="s">
        <v>1779</v>
      </c>
      <c r="G483" s="88" t="b">
        <v>0</v>
      </c>
      <c r="H483" s="88" t="b">
        <v>0</v>
      </c>
      <c r="I483" s="88" t="b">
        <v>0</v>
      </c>
      <c r="J483" s="88" t="b">
        <v>0</v>
      </c>
      <c r="K483" s="88" t="b">
        <v>0</v>
      </c>
      <c r="L483" s="88" t="b">
        <v>0</v>
      </c>
    </row>
    <row r="484" spans="1:12" ht="15">
      <c r="A484" s="83" t="s">
        <v>2531</v>
      </c>
      <c r="B484" s="88" t="s">
        <v>2532</v>
      </c>
      <c r="C484" s="88">
        <v>3</v>
      </c>
      <c r="D484" s="110">
        <v>0.006568119481976089</v>
      </c>
      <c r="E484" s="110">
        <v>2.0851716097368125</v>
      </c>
      <c r="F484" s="88" t="s">
        <v>1779</v>
      </c>
      <c r="G484" s="88" t="b">
        <v>0</v>
      </c>
      <c r="H484" s="88" t="b">
        <v>0</v>
      </c>
      <c r="I484" s="88" t="b">
        <v>0</v>
      </c>
      <c r="J484" s="88" t="b">
        <v>0</v>
      </c>
      <c r="K484" s="88" t="b">
        <v>0</v>
      </c>
      <c r="L484" s="88" t="b">
        <v>0</v>
      </c>
    </row>
    <row r="485" spans="1:12" ht="15">
      <c r="A485" s="83" t="s">
        <v>2532</v>
      </c>
      <c r="B485" s="88" t="s">
        <v>1987</v>
      </c>
      <c r="C485" s="88">
        <v>3</v>
      </c>
      <c r="D485" s="110">
        <v>0.006568119481976089</v>
      </c>
      <c r="E485" s="110">
        <v>1.784141614072831</v>
      </c>
      <c r="F485" s="88" t="s">
        <v>1779</v>
      </c>
      <c r="G485" s="88" t="b">
        <v>0</v>
      </c>
      <c r="H485" s="88" t="b">
        <v>0</v>
      </c>
      <c r="I485" s="88" t="b">
        <v>0</v>
      </c>
      <c r="J485" s="88" t="b">
        <v>0</v>
      </c>
      <c r="K485" s="88" t="b">
        <v>0</v>
      </c>
      <c r="L485" s="88" t="b">
        <v>0</v>
      </c>
    </row>
    <row r="486" spans="1:12" ht="15">
      <c r="A486" s="83" t="s">
        <v>1987</v>
      </c>
      <c r="B486" s="88" t="s">
        <v>1984</v>
      </c>
      <c r="C486" s="88">
        <v>3</v>
      </c>
      <c r="D486" s="110">
        <v>0.006568119481976089</v>
      </c>
      <c r="E486" s="110">
        <v>1.2198701836342685</v>
      </c>
      <c r="F486" s="88" t="s">
        <v>1779</v>
      </c>
      <c r="G486" s="88" t="b">
        <v>0</v>
      </c>
      <c r="H486" s="88" t="b">
        <v>0</v>
      </c>
      <c r="I486" s="88" t="b">
        <v>0</v>
      </c>
      <c r="J486" s="88" t="b">
        <v>0</v>
      </c>
      <c r="K486" s="88" t="b">
        <v>0</v>
      </c>
      <c r="L486" s="88" t="b">
        <v>0</v>
      </c>
    </row>
    <row r="487" spans="1:12" ht="15">
      <c r="A487" s="83" t="s">
        <v>1984</v>
      </c>
      <c r="B487" s="88" t="s">
        <v>2533</v>
      </c>
      <c r="C487" s="88">
        <v>3</v>
      </c>
      <c r="D487" s="110">
        <v>0.006568119481976089</v>
      </c>
      <c r="E487" s="110">
        <v>1.5209001792982497</v>
      </c>
      <c r="F487" s="88" t="s">
        <v>1779</v>
      </c>
      <c r="G487" s="88" t="b">
        <v>0</v>
      </c>
      <c r="H487" s="88" t="b">
        <v>0</v>
      </c>
      <c r="I487" s="88" t="b">
        <v>0</v>
      </c>
      <c r="J487" s="88" t="b">
        <v>0</v>
      </c>
      <c r="K487" s="88" t="b">
        <v>0</v>
      </c>
      <c r="L487" s="88" t="b">
        <v>0</v>
      </c>
    </row>
    <row r="488" spans="1:12" ht="15">
      <c r="A488" s="83" t="s">
        <v>2533</v>
      </c>
      <c r="B488" s="88" t="s">
        <v>2534</v>
      </c>
      <c r="C488" s="88">
        <v>3</v>
      </c>
      <c r="D488" s="110">
        <v>0.006568119481976089</v>
      </c>
      <c r="E488" s="110">
        <v>2.0851716097368125</v>
      </c>
      <c r="F488" s="88" t="s">
        <v>1779</v>
      </c>
      <c r="G488" s="88" t="b">
        <v>0</v>
      </c>
      <c r="H488" s="88" t="b">
        <v>0</v>
      </c>
      <c r="I488" s="88" t="b">
        <v>0</v>
      </c>
      <c r="J488" s="88" t="b">
        <v>0</v>
      </c>
      <c r="K488" s="88" t="b">
        <v>0</v>
      </c>
      <c r="L488" s="88" t="b">
        <v>0</v>
      </c>
    </row>
    <row r="489" spans="1:12" ht="15">
      <c r="A489" s="83" t="s">
        <v>2534</v>
      </c>
      <c r="B489" s="88" t="s">
        <v>1944</v>
      </c>
      <c r="C489" s="88">
        <v>3</v>
      </c>
      <c r="D489" s="110">
        <v>0.006568119481976089</v>
      </c>
      <c r="E489" s="110">
        <v>1.4161648287782367</v>
      </c>
      <c r="F489" s="88" t="s">
        <v>1779</v>
      </c>
      <c r="G489" s="88" t="b">
        <v>0</v>
      </c>
      <c r="H489" s="88" t="b">
        <v>0</v>
      </c>
      <c r="I489" s="88" t="b">
        <v>0</v>
      </c>
      <c r="J489" s="88" t="b">
        <v>0</v>
      </c>
      <c r="K489" s="88" t="b">
        <v>0</v>
      </c>
      <c r="L489" s="88" t="b">
        <v>0</v>
      </c>
    </row>
    <row r="490" spans="1:12" ht="15">
      <c r="A490" s="83" t="s">
        <v>1944</v>
      </c>
      <c r="B490" s="88" t="s">
        <v>2535</v>
      </c>
      <c r="C490" s="88">
        <v>3</v>
      </c>
      <c r="D490" s="110">
        <v>0.006568119481976089</v>
      </c>
      <c r="E490" s="110">
        <v>1.4161648287782367</v>
      </c>
      <c r="F490" s="88" t="s">
        <v>1779</v>
      </c>
      <c r="G490" s="88" t="b">
        <v>0</v>
      </c>
      <c r="H490" s="88" t="b">
        <v>0</v>
      </c>
      <c r="I490" s="88" t="b">
        <v>0</v>
      </c>
      <c r="J490" s="88" t="b">
        <v>0</v>
      </c>
      <c r="K490" s="88" t="b">
        <v>0</v>
      </c>
      <c r="L490" s="88" t="b">
        <v>0</v>
      </c>
    </row>
    <row r="491" spans="1:12" ht="15">
      <c r="A491" s="83" t="s">
        <v>2535</v>
      </c>
      <c r="B491" s="88" t="s">
        <v>1986</v>
      </c>
      <c r="C491" s="88">
        <v>3</v>
      </c>
      <c r="D491" s="110">
        <v>0.006568119481976089</v>
      </c>
      <c r="E491" s="110">
        <v>1.717194824442218</v>
      </c>
      <c r="F491" s="88" t="s">
        <v>1779</v>
      </c>
      <c r="G491" s="88" t="b">
        <v>0</v>
      </c>
      <c r="H491" s="88" t="b">
        <v>0</v>
      </c>
      <c r="I491" s="88" t="b">
        <v>0</v>
      </c>
      <c r="J491" s="88" t="b">
        <v>0</v>
      </c>
      <c r="K491" s="88" t="b">
        <v>0</v>
      </c>
      <c r="L491" s="88" t="b">
        <v>0</v>
      </c>
    </row>
    <row r="492" spans="1:12" ht="15">
      <c r="A492" s="83" t="s">
        <v>1986</v>
      </c>
      <c r="B492" s="88" t="s">
        <v>2003</v>
      </c>
      <c r="C492" s="88">
        <v>3</v>
      </c>
      <c r="D492" s="110">
        <v>0.006568119481976089</v>
      </c>
      <c r="E492" s="110">
        <v>1.5922560878339178</v>
      </c>
      <c r="F492" s="88" t="s">
        <v>1779</v>
      </c>
      <c r="G492" s="88" t="b">
        <v>0</v>
      </c>
      <c r="H492" s="88" t="b">
        <v>0</v>
      </c>
      <c r="I492" s="88" t="b">
        <v>0</v>
      </c>
      <c r="J492" s="88" t="b">
        <v>0</v>
      </c>
      <c r="K492" s="88" t="b">
        <v>0</v>
      </c>
      <c r="L492" s="88" t="b">
        <v>0</v>
      </c>
    </row>
    <row r="493" spans="1:12" ht="15">
      <c r="A493" s="83" t="s">
        <v>2514</v>
      </c>
      <c r="B493" s="88" t="s">
        <v>1991</v>
      </c>
      <c r="C493" s="88">
        <v>3</v>
      </c>
      <c r="D493" s="110">
        <v>0.006568119481976089</v>
      </c>
      <c r="E493" s="110">
        <v>2.0851716097368125</v>
      </c>
      <c r="F493" s="88" t="s">
        <v>1779</v>
      </c>
      <c r="G493" s="88" t="b">
        <v>0</v>
      </c>
      <c r="H493" s="88" t="b">
        <v>0</v>
      </c>
      <c r="I493" s="88" t="b">
        <v>0</v>
      </c>
      <c r="J493" s="88" t="b">
        <v>0</v>
      </c>
      <c r="K493" s="88" t="b">
        <v>0</v>
      </c>
      <c r="L493" s="88" t="b">
        <v>0</v>
      </c>
    </row>
    <row r="494" spans="1:12" ht="15">
      <c r="A494" s="83" t="s">
        <v>1991</v>
      </c>
      <c r="B494" s="88" t="s">
        <v>2515</v>
      </c>
      <c r="C494" s="88">
        <v>3</v>
      </c>
      <c r="D494" s="110">
        <v>0.006568119481976089</v>
      </c>
      <c r="E494" s="110">
        <v>2.0851716097368125</v>
      </c>
      <c r="F494" s="88" t="s">
        <v>1779</v>
      </c>
      <c r="G494" s="88" t="b">
        <v>0</v>
      </c>
      <c r="H494" s="88" t="b">
        <v>0</v>
      </c>
      <c r="I494" s="88" t="b">
        <v>0</v>
      </c>
      <c r="J494" s="88" t="b">
        <v>0</v>
      </c>
      <c r="K494" s="88" t="b">
        <v>0</v>
      </c>
      <c r="L494" s="88" t="b">
        <v>0</v>
      </c>
    </row>
    <row r="495" spans="1:12" ht="15">
      <c r="A495" s="83" t="s">
        <v>2515</v>
      </c>
      <c r="B495" s="88" t="s">
        <v>1985</v>
      </c>
      <c r="C495" s="88">
        <v>3</v>
      </c>
      <c r="D495" s="110">
        <v>0.006568119481976089</v>
      </c>
      <c r="E495" s="110">
        <v>1.784141614072831</v>
      </c>
      <c r="F495" s="88" t="s">
        <v>1779</v>
      </c>
      <c r="G495" s="88" t="b">
        <v>0</v>
      </c>
      <c r="H495" s="88" t="b">
        <v>0</v>
      </c>
      <c r="I495" s="88" t="b">
        <v>0</v>
      </c>
      <c r="J495" s="88" t="b">
        <v>0</v>
      </c>
      <c r="K495" s="88" t="b">
        <v>0</v>
      </c>
      <c r="L495" s="88" t="b">
        <v>0</v>
      </c>
    </row>
    <row r="496" spans="1:12" ht="15">
      <c r="A496" s="83" t="s">
        <v>1985</v>
      </c>
      <c r="B496" s="88" t="s">
        <v>1985</v>
      </c>
      <c r="C496" s="88">
        <v>3</v>
      </c>
      <c r="D496" s="110">
        <v>0.006568119481976089</v>
      </c>
      <c r="E496" s="110">
        <v>1.4161648287782367</v>
      </c>
      <c r="F496" s="88" t="s">
        <v>1779</v>
      </c>
      <c r="G496" s="88" t="b">
        <v>0</v>
      </c>
      <c r="H496" s="88" t="b">
        <v>0</v>
      </c>
      <c r="I496" s="88" t="b">
        <v>0</v>
      </c>
      <c r="J496" s="88" t="b">
        <v>0</v>
      </c>
      <c r="K496" s="88" t="b">
        <v>0</v>
      </c>
      <c r="L496" s="88" t="b">
        <v>0</v>
      </c>
    </row>
    <row r="497" spans="1:12" ht="15">
      <c r="A497" s="83" t="s">
        <v>1985</v>
      </c>
      <c r="B497" s="88" t="s">
        <v>2516</v>
      </c>
      <c r="C497" s="88">
        <v>3</v>
      </c>
      <c r="D497" s="110">
        <v>0.006568119481976089</v>
      </c>
      <c r="E497" s="110">
        <v>1.717194824442218</v>
      </c>
      <c r="F497" s="88" t="s">
        <v>1779</v>
      </c>
      <c r="G497" s="88" t="b">
        <v>0</v>
      </c>
      <c r="H497" s="88" t="b">
        <v>0</v>
      </c>
      <c r="I497" s="88" t="b">
        <v>0</v>
      </c>
      <c r="J497" s="88" t="b">
        <v>0</v>
      </c>
      <c r="K497" s="88" t="b">
        <v>0</v>
      </c>
      <c r="L497" s="88" t="b">
        <v>0</v>
      </c>
    </row>
    <row r="498" spans="1:12" ht="15">
      <c r="A498" s="83" t="s">
        <v>2516</v>
      </c>
      <c r="B498" s="88" t="s">
        <v>2441</v>
      </c>
      <c r="C498" s="88">
        <v>3</v>
      </c>
      <c r="D498" s="110">
        <v>0.006568119481976089</v>
      </c>
      <c r="E498" s="110">
        <v>1.9602328731285124</v>
      </c>
      <c r="F498" s="88" t="s">
        <v>1779</v>
      </c>
      <c r="G498" s="88" t="b">
        <v>0</v>
      </c>
      <c r="H498" s="88" t="b">
        <v>0</v>
      </c>
      <c r="I498" s="88" t="b">
        <v>0</v>
      </c>
      <c r="J498" s="88" t="b">
        <v>0</v>
      </c>
      <c r="K498" s="88" t="b">
        <v>0</v>
      </c>
      <c r="L498" s="88" t="b">
        <v>0</v>
      </c>
    </row>
    <row r="499" spans="1:12" ht="15">
      <c r="A499" s="83" t="s">
        <v>2441</v>
      </c>
      <c r="B499" s="88" t="s">
        <v>1944</v>
      </c>
      <c r="C499" s="88">
        <v>3</v>
      </c>
      <c r="D499" s="110">
        <v>0.006568119481976089</v>
      </c>
      <c r="E499" s="110">
        <v>1.2912260921699368</v>
      </c>
      <c r="F499" s="88" t="s">
        <v>1779</v>
      </c>
      <c r="G499" s="88" t="b">
        <v>0</v>
      </c>
      <c r="H499" s="88" t="b">
        <v>0</v>
      </c>
      <c r="I499" s="88" t="b">
        <v>0</v>
      </c>
      <c r="J499" s="88" t="b">
        <v>0</v>
      </c>
      <c r="K499" s="88" t="b">
        <v>0</v>
      </c>
      <c r="L499" s="88" t="b">
        <v>0</v>
      </c>
    </row>
    <row r="500" spans="1:12" ht="15">
      <c r="A500" s="83" t="s">
        <v>1944</v>
      </c>
      <c r="B500" s="88" t="s">
        <v>2517</v>
      </c>
      <c r="C500" s="88">
        <v>3</v>
      </c>
      <c r="D500" s="110">
        <v>0.006568119481976089</v>
      </c>
      <c r="E500" s="110">
        <v>1.4161648287782367</v>
      </c>
      <c r="F500" s="88" t="s">
        <v>1779</v>
      </c>
      <c r="G500" s="88" t="b">
        <v>0</v>
      </c>
      <c r="H500" s="88" t="b">
        <v>0</v>
      </c>
      <c r="I500" s="88" t="b">
        <v>0</v>
      </c>
      <c r="J500" s="88" t="b">
        <v>0</v>
      </c>
      <c r="K500" s="88" t="b">
        <v>0</v>
      </c>
      <c r="L500" s="88" t="b">
        <v>0</v>
      </c>
    </row>
    <row r="501" spans="1:12" ht="15">
      <c r="A501" s="83" t="s">
        <v>2517</v>
      </c>
      <c r="B501" s="88" t="s">
        <v>1988</v>
      </c>
      <c r="C501" s="88">
        <v>3</v>
      </c>
      <c r="D501" s="110">
        <v>0.006568119481976089</v>
      </c>
      <c r="E501" s="110">
        <v>1.784141614072831</v>
      </c>
      <c r="F501" s="88" t="s">
        <v>1779</v>
      </c>
      <c r="G501" s="88" t="b">
        <v>0</v>
      </c>
      <c r="H501" s="88" t="b">
        <v>0</v>
      </c>
      <c r="I501" s="88" t="b">
        <v>0</v>
      </c>
      <c r="J501" s="88" t="b">
        <v>0</v>
      </c>
      <c r="K501" s="88" t="b">
        <v>0</v>
      </c>
      <c r="L501" s="88" t="b">
        <v>0</v>
      </c>
    </row>
    <row r="502" spans="1:12" ht="15">
      <c r="A502" s="83" t="s">
        <v>1988</v>
      </c>
      <c r="B502" s="88" t="s">
        <v>2436</v>
      </c>
      <c r="C502" s="88">
        <v>3</v>
      </c>
      <c r="D502" s="110">
        <v>0.006568119481976089</v>
      </c>
      <c r="E502" s="110">
        <v>1.784141614072831</v>
      </c>
      <c r="F502" s="88" t="s">
        <v>1779</v>
      </c>
      <c r="G502" s="88" t="b">
        <v>0</v>
      </c>
      <c r="H502" s="88" t="b">
        <v>0</v>
      </c>
      <c r="I502" s="88" t="b">
        <v>0</v>
      </c>
      <c r="J502" s="88" t="b">
        <v>0</v>
      </c>
      <c r="K502" s="88" t="b">
        <v>0</v>
      </c>
      <c r="L502" s="88" t="b">
        <v>0</v>
      </c>
    </row>
    <row r="503" spans="1:12" ht="15">
      <c r="A503" s="83" t="s">
        <v>2436</v>
      </c>
      <c r="B503" s="88" t="s">
        <v>1984</v>
      </c>
      <c r="C503" s="88">
        <v>3</v>
      </c>
      <c r="D503" s="110">
        <v>0.006568119481976089</v>
      </c>
      <c r="E503" s="110">
        <v>1.5209001792982497</v>
      </c>
      <c r="F503" s="88" t="s">
        <v>1779</v>
      </c>
      <c r="G503" s="88" t="b">
        <v>0</v>
      </c>
      <c r="H503" s="88" t="b">
        <v>0</v>
      </c>
      <c r="I503" s="88" t="b">
        <v>0</v>
      </c>
      <c r="J503" s="88" t="b">
        <v>0</v>
      </c>
      <c r="K503" s="88" t="b">
        <v>0</v>
      </c>
      <c r="L503" s="88" t="b">
        <v>0</v>
      </c>
    </row>
    <row r="504" spans="1:12" ht="15">
      <c r="A504" s="83" t="s">
        <v>1984</v>
      </c>
      <c r="B504" s="88" t="s">
        <v>2518</v>
      </c>
      <c r="C504" s="88">
        <v>3</v>
      </c>
      <c r="D504" s="110">
        <v>0.006568119481976089</v>
      </c>
      <c r="E504" s="110">
        <v>1.5209001792982497</v>
      </c>
      <c r="F504" s="88" t="s">
        <v>1779</v>
      </c>
      <c r="G504" s="88" t="b">
        <v>0</v>
      </c>
      <c r="H504" s="88" t="b">
        <v>0</v>
      </c>
      <c r="I504" s="88" t="b">
        <v>0</v>
      </c>
      <c r="J504" s="88" t="b">
        <v>0</v>
      </c>
      <c r="K504" s="88" t="b">
        <v>0</v>
      </c>
      <c r="L504" s="88" t="b">
        <v>0</v>
      </c>
    </row>
    <row r="505" spans="1:12" ht="15">
      <c r="A505" s="83" t="s">
        <v>2518</v>
      </c>
      <c r="B505" s="88" t="s">
        <v>2519</v>
      </c>
      <c r="C505" s="88">
        <v>3</v>
      </c>
      <c r="D505" s="110">
        <v>0.006568119481976089</v>
      </c>
      <c r="E505" s="110">
        <v>2.0851716097368125</v>
      </c>
      <c r="F505" s="88" t="s">
        <v>1779</v>
      </c>
      <c r="G505" s="88" t="b">
        <v>0</v>
      </c>
      <c r="H505" s="88" t="b">
        <v>0</v>
      </c>
      <c r="I505" s="88" t="b">
        <v>0</v>
      </c>
      <c r="J505" s="88" t="b">
        <v>1</v>
      </c>
      <c r="K505" s="88" t="b">
        <v>0</v>
      </c>
      <c r="L505" s="88" t="b">
        <v>0</v>
      </c>
    </row>
    <row r="506" spans="1:12" ht="15">
      <c r="A506" s="83" t="s">
        <v>2519</v>
      </c>
      <c r="B506" s="88" t="s">
        <v>2520</v>
      </c>
      <c r="C506" s="88">
        <v>3</v>
      </c>
      <c r="D506" s="110">
        <v>0.006568119481976089</v>
      </c>
      <c r="E506" s="110">
        <v>2.0851716097368125</v>
      </c>
      <c r="F506" s="88" t="s">
        <v>1779</v>
      </c>
      <c r="G506" s="88" t="b">
        <v>1</v>
      </c>
      <c r="H506" s="88" t="b">
        <v>0</v>
      </c>
      <c r="I506" s="88" t="b">
        <v>0</v>
      </c>
      <c r="J506" s="88" t="b">
        <v>0</v>
      </c>
      <c r="K506" s="88" t="b">
        <v>0</v>
      </c>
      <c r="L506" s="88" t="b">
        <v>0</v>
      </c>
    </row>
    <row r="507" spans="1:12" ht="15">
      <c r="A507" s="83" t="s">
        <v>2520</v>
      </c>
      <c r="B507" s="88" t="s">
        <v>2521</v>
      </c>
      <c r="C507" s="88">
        <v>3</v>
      </c>
      <c r="D507" s="110">
        <v>0.006568119481976089</v>
      </c>
      <c r="E507" s="110">
        <v>2.0851716097368125</v>
      </c>
      <c r="F507" s="88" t="s">
        <v>1779</v>
      </c>
      <c r="G507" s="88" t="b">
        <v>0</v>
      </c>
      <c r="H507" s="88" t="b">
        <v>0</v>
      </c>
      <c r="I507" s="88" t="b">
        <v>0</v>
      </c>
      <c r="J507" s="88" t="b">
        <v>0</v>
      </c>
      <c r="K507" s="88" t="b">
        <v>0</v>
      </c>
      <c r="L507" s="88" t="b">
        <v>0</v>
      </c>
    </row>
    <row r="508" spans="1:12" ht="15">
      <c r="A508" s="83" t="s">
        <v>2521</v>
      </c>
      <c r="B508" s="88" t="s">
        <v>2522</v>
      </c>
      <c r="C508" s="88">
        <v>3</v>
      </c>
      <c r="D508" s="110">
        <v>0.006568119481976089</v>
      </c>
      <c r="E508" s="110">
        <v>2.0851716097368125</v>
      </c>
      <c r="F508" s="88" t="s">
        <v>1779</v>
      </c>
      <c r="G508" s="88" t="b">
        <v>0</v>
      </c>
      <c r="H508" s="88" t="b">
        <v>0</v>
      </c>
      <c r="I508" s="88" t="b">
        <v>0</v>
      </c>
      <c r="J508" s="88" t="b">
        <v>0</v>
      </c>
      <c r="K508" s="88" t="b">
        <v>0</v>
      </c>
      <c r="L508" s="88" t="b">
        <v>0</v>
      </c>
    </row>
    <row r="509" spans="1:12" ht="15">
      <c r="A509" s="83" t="s">
        <v>2522</v>
      </c>
      <c r="B509" s="88" t="s">
        <v>2477</v>
      </c>
      <c r="C509" s="88">
        <v>3</v>
      </c>
      <c r="D509" s="110">
        <v>0.006568119481976089</v>
      </c>
      <c r="E509" s="110">
        <v>2.0851716097368125</v>
      </c>
      <c r="F509" s="88" t="s">
        <v>1779</v>
      </c>
      <c r="G509" s="88" t="b">
        <v>0</v>
      </c>
      <c r="H509" s="88" t="b">
        <v>0</v>
      </c>
      <c r="I509" s="88" t="b">
        <v>0</v>
      </c>
      <c r="J509" s="88" t="b">
        <v>1</v>
      </c>
      <c r="K509" s="88" t="b">
        <v>0</v>
      </c>
      <c r="L509" s="88" t="b">
        <v>0</v>
      </c>
    </row>
    <row r="510" spans="1:12" ht="15">
      <c r="A510" s="83" t="s">
        <v>2477</v>
      </c>
      <c r="B510" s="88" t="s">
        <v>1969</v>
      </c>
      <c r="C510" s="88">
        <v>3</v>
      </c>
      <c r="D510" s="110">
        <v>0.006568119481976089</v>
      </c>
      <c r="E510" s="110">
        <v>1.863322860120456</v>
      </c>
      <c r="F510" s="88" t="s">
        <v>1779</v>
      </c>
      <c r="G510" s="88" t="b">
        <v>1</v>
      </c>
      <c r="H510" s="88" t="b">
        <v>0</v>
      </c>
      <c r="I510" s="88" t="b">
        <v>0</v>
      </c>
      <c r="J510" s="88" t="b">
        <v>0</v>
      </c>
      <c r="K510" s="88" t="b">
        <v>0</v>
      </c>
      <c r="L510" s="88" t="b">
        <v>0</v>
      </c>
    </row>
    <row r="511" spans="1:12" ht="15">
      <c r="A511" s="83" t="s">
        <v>1969</v>
      </c>
      <c r="B511" s="88" t="s">
        <v>2442</v>
      </c>
      <c r="C511" s="88">
        <v>3</v>
      </c>
      <c r="D511" s="110">
        <v>0.006568119481976089</v>
      </c>
      <c r="E511" s="110">
        <v>1.6414741105040995</v>
      </c>
      <c r="F511" s="88" t="s">
        <v>1779</v>
      </c>
      <c r="G511" s="88" t="b">
        <v>0</v>
      </c>
      <c r="H511" s="88" t="b">
        <v>0</v>
      </c>
      <c r="I511" s="88" t="b">
        <v>0</v>
      </c>
      <c r="J511" s="88" t="b">
        <v>0</v>
      </c>
      <c r="K511" s="88" t="b">
        <v>0</v>
      </c>
      <c r="L511" s="88" t="b">
        <v>0</v>
      </c>
    </row>
    <row r="512" spans="1:12" ht="15">
      <c r="A512" s="83" t="s">
        <v>2442</v>
      </c>
      <c r="B512" s="88" t="s">
        <v>1968</v>
      </c>
      <c r="C512" s="88">
        <v>3</v>
      </c>
      <c r="D512" s="110">
        <v>0.006568119481976089</v>
      </c>
      <c r="E512" s="110">
        <v>1.4953460748258613</v>
      </c>
      <c r="F512" s="88" t="s">
        <v>1779</v>
      </c>
      <c r="G512" s="88" t="b">
        <v>0</v>
      </c>
      <c r="H512" s="88" t="b">
        <v>0</v>
      </c>
      <c r="I512" s="88" t="b">
        <v>0</v>
      </c>
      <c r="J512" s="88" t="b">
        <v>0</v>
      </c>
      <c r="K512" s="88" t="b">
        <v>0</v>
      </c>
      <c r="L512" s="88" t="b">
        <v>0</v>
      </c>
    </row>
    <row r="513" spans="1:12" ht="15">
      <c r="A513" s="83" t="s">
        <v>1968</v>
      </c>
      <c r="B513" s="88" t="s">
        <v>1988</v>
      </c>
      <c r="C513" s="88">
        <v>3</v>
      </c>
      <c r="D513" s="110">
        <v>0.006568119481976089</v>
      </c>
      <c r="E513" s="110">
        <v>1.4161648287782367</v>
      </c>
      <c r="F513" s="88" t="s">
        <v>1779</v>
      </c>
      <c r="G513" s="88" t="b">
        <v>0</v>
      </c>
      <c r="H513" s="88" t="b">
        <v>0</v>
      </c>
      <c r="I513" s="88" t="b">
        <v>0</v>
      </c>
      <c r="J513" s="88" t="b">
        <v>0</v>
      </c>
      <c r="K513" s="88" t="b">
        <v>0</v>
      </c>
      <c r="L513" s="88" t="b">
        <v>0</v>
      </c>
    </row>
    <row r="514" spans="1:12" ht="15">
      <c r="A514" s="83" t="s">
        <v>1988</v>
      </c>
      <c r="B514" s="88" t="s">
        <v>2523</v>
      </c>
      <c r="C514" s="88">
        <v>3</v>
      </c>
      <c r="D514" s="110">
        <v>0.006568119481976089</v>
      </c>
      <c r="E514" s="110">
        <v>1.784141614072831</v>
      </c>
      <c r="F514" s="88" t="s">
        <v>1779</v>
      </c>
      <c r="G514" s="88" t="b">
        <v>0</v>
      </c>
      <c r="H514" s="88" t="b">
        <v>0</v>
      </c>
      <c r="I514" s="88" t="b">
        <v>0</v>
      </c>
      <c r="J514" s="88" t="b">
        <v>0</v>
      </c>
      <c r="K514" s="88" t="b">
        <v>0</v>
      </c>
      <c r="L514" s="88" t="b">
        <v>0</v>
      </c>
    </row>
    <row r="515" spans="1:12" ht="15">
      <c r="A515" s="83" t="s">
        <v>2523</v>
      </c>
      <c r="B515" s="88" t="s">
        <v>1992</v>
      </c>
      <c r="C515" s="88">
        <v>3</v>
      </c>
      <c r="D515" s="110">
        <v>0.006568119481976089</v>
      </c>
      <c r="E515" s="110">
        <v>2.0851716097368125</v>
      </c>
      <c r="F515" s="88" t="s">
        <v>1779</v>
      </c>
      <c r="G515" s="88" t="b">
        <v>0</v>
      </c>
      <c r="H515" s="88" t="b">
        <v>0</v>
      </c>
      <c r="I515" s="88" t="b">
        <v>0</v>
      </c>
      <c r="J515" s="88" t="b">
        <v>0</v>
      </c>
      <c r="K515" s="88" t="b">
        <v>0</v>
      </c>
      <c r="L515" s="88" t="b">
        <v>0</v>
      </c>
    </row>
    <row r="516" spans="1:12" ht="15">
      <c r="A516" s="83" t="s">
        <v>1992</v>
      </c>
      <c r="B516" s="88" t="s">
        <v>1993</v>
      </c>
      <c r="C516" s="88">
        <v>3</v>
      </c>
      <c r="D516" s="110">
        <v>0.006568119481976089</v>
      </c>
      <c r="E516" s="110">
        <v>2.0851716097368125</v>
      </c>
      <c r="F516" s="88" t="s">
        <v>1779</v>
      </c>
      <c r="G516" s="88" t="b">
        <v>0</v>
      </c>
      <c r="H516" s="88" t="b">
        <v>0</v>
      </c>
      <c r="I516" s="88" t="b">
        <v>0</v>
      </c>
      <c r="J516" s="88" t="b">
        <v>0</v>
      </c>
      <c r="K516" s="88" t="b">
        <v>0</v>
      </c>
      <c r="L516" s="88" t="b">
        <v>0</v>
      </c>
    </row>
    <row r="517" spans="1:12" ht="15">
      <c r="A517" s="83" t="s">
        <v>1965</v>
      </c>
      <c r="B517" s="88" t="s">
        <v>1944</v>
      </c>
      <c r="C517" s="88">
        <v>3</v>
      </c>
      <c r="D517" s="110">
        <v>0.006568119481976089</v>
      </c>
      <c r="E517" s="110">
        <v>0.9390435740585742</v>
      </c>
      <c r="F517" s="88" t="s">
        <v>1779</v>
      </c>
      <c r="G517" s="88" t="b">
        <v>0</v>
      </c>
      <c r="H517" s="88" t="b">
        <v>0</v>
      </c>
      <c r="I517" s="88" t="b">
        <v>0</v>
      </c>
      <c r="J517" s="88" t="b">
        <v>0</v>
      </c>
      <c r="K517" s="88" t="b">
        <v>0</v>
      </c>
      <c r="L517" s="88" t="b">
        <v>0</v>
      </c>
    </row>
    <row r="518" spans="1:12" ht="15">
      <c r="A518" s="83" t="s">
        <v>2600</v>
      </c>
      <c r="B518" s="88" t="s">
        <v>2021</v>
      </c>
      <c r="C518" s="88">
        <v>2</v>
      </c>
      <c r="D518" s="110">
        <v>0.005291136264611078</v>
      </c>
      <c r="E518" s="110">
        <v>2.2612628687924934</v>
      </c>
      <c r="F518" s="88" t="s">
        <v>1779</v>
      </c>
      <c r="G518" s="88" t="b">
        <v>0</v>
      </c>
      <c r="H518" s="88" t="b">
        <v>0</v>
      </c>
      <c r="I518" s="88" t="b">
        <v>0</v>
      </c>
      <c r="J518" s="88" t="b">
        <v>0</v>
      </c>
      <c r="K518" s="88" t="b">
        <v>0</v>
      </c>
      <c r="L518" s="88" t="b">
        <v>0</v>
      </c>
    </row>
    <row r="519" spans="1:12" ht="15">
      <c r="A519" s="83" t="s">
        <v>2021</v>
      </c>
      <c r="B519" s="88" t="s">
        <v>342</v>
      </c>
      <c r="C519" s="88">
        <v>2</v>
      </c>
      <c r="D519" s="110">
        <v>0.005291136264611078</v>
      </c>
      <c r="E519" s="110">
        <v>2.2612628687924934</v>
      </c>
      <c r="F519" s="88" t="s">
        <v>1779</v>
      </c>
      <c r="G519" s="88" t="b">
        <v>0</v>
      </c>
      <c r="H519" s="88" t="b">
        <v>0</v>
      </c>
      <c r="I519" s="88" t="b">
        <v>0</v>
      </c>
      <c r="J519" s="88" t="b">
        <v>0</v>
      </c>
      <c r="K519" s="88" t="b">
        <v>0</v>
      </c>
      <c r="L519" s="88" t="b">
        <v>0</v>
      </c>
    </row>
    <row r="520" spans="1:12" ht="15">
      <c r="A520" s="83" t="s">
        <v>342</v>
      </c>
      <c r="B520" s="88" t="s">
        <v>2601</v>
      </c>
      <c r="C520" s="88">
        <v>2</v>
      </c>
      <c r="D520" s="110">
        <v>0.005291136264611078</v>
      </c>
      <c r="E520" s="110">
        <v>2.2612628687924934</v>
      </c>
      <c r="F520" s="88" t="s">
        <v>1779</v>
      </c>
      <c r="G520" s="88" t="b">
        <v>0</v>
      </c>
      <c r="H520" s="88" t="b">
        <v>0</v>
      </c>
      <c r="I520" s="88" t="b">
        <v>0</v>
      </c>
      <c r="J520" s="88" t="b">
        <v>0</v>
      </c>
      <c r="K520" s="88" t="b">
        <v>0</v>
      </c>
      <c r="L520" s="88" t="b">
        <v>0</v>
      </c>
    </row>
    <row r="521" spans="1:12" ht="15">
      <c r="A521" s="83" t="s">
        <v>2601</v>
      </c>
      <c r="B521" s="88" t="s">
        <v>1968</v>
      </c>
      <c r="C521" s="88">
        <v>2</v>
      </c>
      <c r="D521" s="110">
        <v>0.005291136264611078</v>
      </c>
      <c r="E521" s="110">
        <v>1.717194824442218</v>
      </c>
      <c r="F521" s="88" t="s">
        <v>1779</v>
      </c>
      <c r="G521" s="88" t="b">
        <v>0</v>
      </c>
      <c r="H521" s="88" t="b">
        <v>0</v>
      </c>
      <c r="I521" s="88" t="b">
        <v>0</v>
      </c>
      <c r="J521" s="88" t="b">
        <v>0</v>
      </c>
      <c r="K521" s="88" t="b">
        <v>0</v>
      </c>
      <c r="L521" s="88" t="b">
        <v>0</v>
      </c>
    </row>
    <row r="522" spans="1:12" ht="15">
      <c r="A522" s="83" t="s">
        <v>1968</v>
      </c>
      <c r="B522" s="88" t="s">
        <v>1969</v>
      </c>
      <c r="C522" s="88">
        <v>2</v>
      </c>
      <c r="D522" s="110">
        <v>0.005291136264611078</v>
      </c>
      <c r="E522" s="110">
        <v>1.3192548157701802</v>
      </c>
      <c r="F522" s="88" t="s">
        <v>1779</v>
      </c>
      <c r="G522" s="88" t="b">
        <v>0</v>
      </c>
      <c r="H522" s="88" t="b">
        <v>0</v>
      </c>
      <c r="I522" s="88" t="b">
        <v>0</v>
      </c>
      <c r="J522" s="88" t="b">
        <v>0</v>
      </c>
      <c r="K522" s="88" t="b">
        <v>0</v>
      </c>
      <c r="L522" s="88" t="b">
        <v>0</v>
      </c>
    </row>
    <row r="523" spans="1:12" ht="15">
      <c r="A523" s="83" t="s">
        <v>1969</v>
      </c>
      <c r="B523" s="88" t="s">
        <v>2475</v>
      </c>
      <c r="C523" s="88">
        <v>2</v>
      </c>
      <c r="D523" s="110">
        <v>0.005291136264611078</v>
      </c>
      <c r="E523" s="110">
        <v>1.5622928644564746</v>
      </c>
      <c r="F523" s="88" t="s">
        <v>1779</v>
      </c>
      <c r="G523" s="88" t="b">
        <v>0</v>
      </c>
      <c r="H523" s="88" t="b">
        <v>0</v>
      </c>
      <c r="I523" s="88" t="b">
        <v>0</v>
      </c>
      <c r="J523" s="88" t="b">
        <v>0</v>
      </c>
      <c r="K523" s="88" t="b">
        <v>0</v>
      </c>
      <c r="L523" s="88" t="b">
        <v>0</v>
      </c>
    </row>
    <row r="524" spans="1:12" ht="15">
      <c r="A524" s="83" t="s">
        <v>2475</v>
      </c>
      <c r="B524" s="88" t="s">
        <v>1964</v>
      </c>
      <c r="C524" s="88">
        <v>2</v>
      </c>
      <c r="D524" s="110">
        <v>0.005291136264611078</v>
      </c>
      <c r="E524" s="110">
        <v>1.3581728818005498</v>
      </c>
      <c r="F524" s="88" t="s">
        <v>1779</v>
      </c>
      <c r="G524" s="88" t="b">
        <v>0</v>
      </c>
      <c r="H524" s="88" t="b">
        <v>0</v>
      </c>
      <c r="I524" s="88" t="b">
        <v>0</v>
      </c>
      <c r="J524" s="88" t="b">
        <v>0</v>
      </c>
      <c r="K524" s="88" t="b">
        <v>0</v>
      </c>
      <c r="L524" s="88" t="b">
        <v>0</v>
      </c>
    </row>
    <row r="525" spans="1:12" ht="15">
      <c r="A525" s="83" t="s">
        <v>1944</v>
      </c>
      <c r="B525" s="88" t="s">
        <v>2602</v>
      </c>
      <c r="C525" s="88">
        <v>2</v>
      </c>
      <c r="D525" s="110">
        <v>0.005291136264611078</v>
      </c>
      <c r="E525" s="110">
        <v>1.4161648287782367</v>
      </c>
      <c r="F525" s="88" t="s">
        <v>1779</v>
      </c>
      <c r="G525" s="88" t="b">
        <v>0</v>
      </c>
      <c r="H525" s="88" t="b">
        <v>0</v>
      </c>
      <c r="I525" s="88" t="b">
        <v>0</v>
      </c>
      <c r="J525" s="88" t="b">
        <v>0</v>
      </c>
      <c r="K525" s="88" t="b">
        <v>0</v>
      </c>
      <c r="L525" s="88" t="b">
        <v>0</v>
      </c>
    </row>
    <row r="526" spans="1:12" ht="15">
      <c r="A526" s="83" t="s">
        <v>2602</v>
      </c>
      <c r="B526" s="88" t="s">
        <v>401</v>
      </c>
      <c r="C526" s="88">
        <v>2</v>
      </c>
      <c r="D526" s="110">
        <v>0.005291136264611078</v>
      </c>
      <c r="E526" s="110">
        <v>2.2612628687924934</v>
      </c>
      <c r="F526" s="88" t="s">
        <v>1779</v>
      </c>
      <c r="G526" s="88" t="b">
        <v>0</v>
      </c>
      <c r="H526" s="88" t="b">
        <v>0</v>
      </c>
      <c r="I526" s="88" t="b">
        <v>0</v>
      </c>
      <c r="J526" s="88" t="b">
        <v>0</v>
      </c>
      <c r="K526" s="88" t="b">
        <v>0</v>
      </c>
      <c r="L526" s="88" t="b">
        <v>0</v>
      </c>
    </row>
    <row r="527" spans="1:12" ht="15">
      <c r="A527" s="83" t="s">
        <v>401</v>
      </c>
      <c r="B527" s="88" t="s">
        <v>2474</v>
      </c>
      <c r="C527" s="88">
        <v>2</v>
      </c>
      <c r="D527" s="110">
        <v>0.005291136264611078</v>
      </c>
      <c r="E527" s="110">
        <v>2.2612628687924934</v>
      </c>
      <c r="F527" s="88" t="s">
        <v>1779</v>
      </c>
      <c r="G527" s="88" t="b">
        <v>0</v>
      </c>
      <c r="H527" s="88" t="b">
        <v>0</v>
      </c>
      <c r="I527" s="88" t="b">
        <v>0</v>
      </c>
      <c r="J527" s="88" t="b">
        <v>0</v>
      </c>
      <c r="K527" s="88" t="b">
        <v>0</v>
      </c>
      <c r="L527" s="88" t="b">
        <v>0</v>
      </c>
    </row>
    <row r="528" spans="1:12" ht="15">
      <c r="A528" s="83" t="s">
        <v>2474</v>
      </c>
      <c r="B528" s="88" t="s">
        <v>2603</v>
      </c>
      <c r="C528" s="88">
        <v>2</v>
      </c>
      <c r="D528" s="110">
        <v>0.005291136264611078</v>
      </c>
      <c r="E528" s="110">
        <v>2.2612628687924934</v>
      </c>
      <c r="F528" s="88" t="s">
        <v>1779</v>
      </c>
      <c r="G528" s="88" t="b">
        <v>0</v>
      </c>
      <c r="H528" s="88" t="b">
        <v>0</v>
      </c>
      <c r="I528" s="88" t="b">
        <v>0</v>
      </c>
      <c r="J528" s="88" t="b">
        <v>0</v>
      </c>
      <c r="K528" s="88" t="b">
        <v>0</v>
      </c>
      <c r="L528" s="88" t="b">
        <v>0</v>
      </c>
    </row>
    <row r="529" spans="1:12" ht="15">
      <c r="A529" s="83" t="s">
        <v>2603</v>
      </c>
      <c r="B529" s="88" t="s">
        <v>2604</v>
      </c>
      <c r="C529" s="88">
        <v>2</v>
      </c>
      <c r="D529" s="110">
        <v>0.005291136264611078</v>
      </c>
      <c r="E529" s="110">
        <v>2.2612628687924934</v>
      </c>
      <c r="F529" s="88" t="s">
        <v>1779</v>
      </c>
      <c r="G529" s="88" t="b">
        <v>0</v>
      </c>
      <c r="H529" s="88" t="b">
        <v>0</v>
      </c>
      <c r="I529" s="88" t="b">
        <v>0</v>
      </c>
      <c r="J529" s="88" t="b">
        <v>0</v>
      </c>
      <c r="K529" s="88" t="b">
        <v>0</v>
      </c>
      <c r="L529" s="88" t="b">
        <v>0</v>
      </c>
    </row>
    <row r="530" spans="1:12" ht="15">
      <c r="A530" s="83" t="s">
        <v>2604</v>
      </c>
      <c r="B530" s="88" t="s">
        <v>2605</v>
      </c>
      <c r="C530" s="88">
        <v>2</v>
      </c>
      <c r="D530" s="110">
        <v>0.005291136264611078</v>
      </c>
      <c r="E530" s="110">
        <v>2.2612628687924934</v>
      </c>
      <c r="F530" s="88" t="s">
        <v>1779</v>
      </c>
      <c r="G530" s="88" t="b">
        <v>0</v>
      </c>
      <c r="H530" s="88" t="b">
        <v>0</v>
      </c>
      <c r="I530" s="88" t="b">
        <v>0</v>
      </c>
      <c r="J530" s="88" t="b">
        <v>0</v>
      </c>
      <c r="K530" s="88" t="b">
        <v>0</v>
      </c>
      <c r="L530" s="88" t="b">
        <v>0</v>
      </c>
    </row>
    <row r="531" spans="1:12" ht="15">
      <c r="A531" s="83" t="s">
        <v>2605</v>
      </c>
      <c r="B531" s="88" t="s">
        <v>2476</v>
      </c>
      <c r="C531" s="88">
        <v>2</v>
      </c>
      <c r="D531" s="110">
        <v>0.005291136264611078</v>
      </c>
      <c r="E531" s="110">
        <v>2.2612628687924934</v>
      </c>
      <c r="F531" s="88" t="s">
        <v>1779</v>
      </c>
      <c r="G531" s="88" t="b">
        <v>0</v>
      </c>
      <c r="H531" s="88" t="b">
        <v>0</v>
      </c>
      <c r="I531" s="88" t="b">
        <v>0</v>
      </c>
      <c r="J531" s="88" t="b">
        <v>0</v>
      </c>
      <c r="K531" s="88" t="b">
        <v>0</v>
      </c>
      <c r="L531" s="88" t="b">
        <v>0</v>
      </c>
    </row>
    <row r="532" spans="1:12" ht="15">
      <c r="A532" s="83" t="s">
        <v>2513</v>
      </c>
      <c r="B532" s="88" t="s">
        <v>349</v>
      </c>
      <c r="C532" s="88">
        <v>2</v>
      </c>
      <c r="D532" s="110">
        <v>0.005291136264611078</v>
      </c>
      <c r="E532" s="110">
        <v>2.2612628687924934</v>
      </c>
      <c r="F532" s="88" t="s">
        <v>1779</v>
      </c>
      <c r="G532" s="88" t="b">
        <v>0</v>
      </c>
      <c r="H532" s="88" t="b">
        <v>0</v>
      </c>
      <c r="I532" s="88" t="b">
        <v>0</v>
      </c>
      <c r="J532" s="88" t="b">
        <v>0</v>
      </c>
      <c r="K532" s="88" t="b">
        <v>0</v>
      </c>
      <c r="L532" s="88" t="b">
        <v>0</v>
      </c>
    </row>
    <row r="533" spans="1:12" ht="15">
      <c r="A533" s="83" t="s">
        <v>349</v>
      </c>
      <c r="B533" s="88" t="s">
        <v>2475</v>
      </c>
      <c r="C533" s="88">
        <v>2</v>
      </c>
      <c r="D533" s="110">
        <v>0.005291136264611078</v>
      </c>
      <c r="E533" s="110">
        <v>1.9602328731285124</v>
      </c>
      <c r="F533" s="88" t="s">
        <v>1779</v>
      </c>
      <c r="G533" s="88" t="b">
        <v>0</v>
      </c>
      <c r="H533" s="88" t="b">
        <v>0</v>
      </c>
      <c r="I533" s="88" t="b">
        <v>0</v>
      </c>
      <c r="J533" s="88" t="b">
        <v>0</v>
      </c>
      <c r="K533" s="88" t="b">
        <v>0</v>
      </c>
      <c r="L533" s="88" t="b">
        <v>0</v>
      </c>
    </row>
    <row r="534" spans="1:12" ht="15">
      <c r="A534" s="83" t="s">
        <v>2475</v>
      </c>
      <c r="B534" s="88" t="s">
        <v>2599</v>
      </c>
      <c r="C534" s="88">
        <v>2</v>
      </c>
      <c r="D534" s="110">
        <v>0.005291136264611078</v>
      </c>
      <c r="E534" s="110">
        <v>1.9602328731285124</v>
      </c>
      <c r="F534" s="88" t="s">
        <v>1779</v>
      </c>
      <c r="G534" s="88" t="b">
        <v>0</v>
      </c>
      <c r="H534" s="88" t="b">
        <v>0</v>
      </c>
      <c r="I534" s="88" t="b">
        <v>0</v>
      </c>
      <c r="J534" s="88" t="b">
        <v>1</v>
      </c>
      <c r="K534" s="88" t="b">
        <v>0</v>
      </c>
      <c r="L534" s="88" t="b">
        <v>0</v>
      </c>
    </row>
    <row r="535" spans="1:12" ht="15">
      <c r="A535" s="83" t="s">
        <v>2599</v>
      </c>
      <c r="B535" s="88" t="s">
        <v>2438</v>
      </c>
      <c r="C535" s="88">
        <v>2</v>
      </c>
      <c r="D535" s="110">
        <v>0.005291136264611078</v>
      </c>
      <c r="E535" s="110">
        <v>2.0851716097368125</v>
      </c>
      <c r="F535" s="88" t="s">
        <v>1779</v>
      </c>
      <c r="G535" s="88" t="b">
        <v>1</v>
      </c>
      <c r="H535" s="88" t="b">
        <v>0</v>
      </c>
      <c r="I535" s="88" t="b">
        <v>0</v>
      </c>
      <c r="J535" s="88" t="b">
        <v>0</v>
      </c>
      <c r="K535" s="88" t="b">
        <v>0</v>
      </c>
      <c r="L535" s="88" t="b">
        <v>0</v>
      </c>
    </row>
    <row r="536" spans="1:12" ht="15">
      <c r="A536" s="83" t="s">
        <v>2509</v>
      </c>
      <c r="B536" s="88" t="s">
        <v>2588</v>
      </c>
      <c r="C536" s="88">
        <v>2</v>
      </c>
      <c r="D536" s="110">
        <v>0.005291136264611078</v>
      </c>
      <c r="E536" s="110">
        <v>2.0851716097368125</v>
      </c>
      <c r="F536" s="88" t="s">
        <v>1779</v>
      </c>
      <c r="G536" s="88" t="b">
        <v>0</v>
      </c>
      <c r="H536" s="88" t="b">
        <v>0</v>
      </c>
      <c r="I536" s="88" t="b">
        <v>0</v>
      </c>
      <c r="J536" s="88" t="b">
        <v>0</v>
      </c>
      <c r="K536" s="88" t="b">
        <v>0</v>
      </c>
      <c r="L536" s="88" t="b">
        <v>0</v>
      </c>
    </row>
    <row r="537" spans="1:12" ht="15">
      <c r="A537" s="83" t="s">
        <v>2588</v>
      </c>
      <c r="B537" s="88" t="s">
        <v>402</v>
      </c>
      <c r="C537" s="88">
        <v>2</v>
      </c>
      <c r="D537" s="110">
        <v>0.005291136264611078</v>
      </c>
      <c r="E537" s="110">
        <v>2.2612628687924934</v>
      </c>
      <c r="F537" s="88" t="s">
        <v>1779</v>
      </c>
      <c r="G537" s="88" t="b">
        <v>0</v>
      </c>
      <c r="H537" s="88" t="b">
        <v>0</v>
      </c>
      <c r="I537" s="88" t="b">
        <v>0</v>
      </c>
      <c r="J537" s="88" t="b">
        <v>0</v>
      </c>
      <c r="K537" s="88" t="b">
        <v>0</v>
      </c>
      <c r="L537" s="88" t="b">
        <v>0</v>
      </c>
    </row>
    <row r="538" spans="1:12" ht="15">
      <c r="A538" s="83" t="s">
        <v>402</v>
      </c>
      <c r="B538" s="88" t="s">
        <v>2589</v>
      </c>
      <c r="C538" s="88">
        <v>2</v>
      </c>
      <c r="D538" s="110">
        <v>0.005291136264611078</v>
      </c>
      <c r="E538" s="110">
        <v>2.2612628687924934</v>
      </c>
      <c r="F538" s="88" t="s">
        <v>1779</v>
      </c>
      <c r="G538" s="88" t="b">
        <v>0</v>
      </c>
      <c r="H538" s="88" t="b">
        <v>0</v>
      </c>
      <c r="I538" s="88" t="b">
        <v>0</v>
      </c>
      <c r="J538" s="88" t="b">
        <v>0</v>
      </c>
      <c r="K538" s="88" t="b">
        <v>0</v>
      </c>
      <c r="L538" s="88" t="b">
        <v>0</v>
      </c>
    </row>
    <row r="539" spans="1:12" ht="15">
      <c r="A539" s="83" t="s">
        <v>2589</v>
      </c>
      <c r="B539" s="88" t="s">
        <v>2590</v>
      </c>
      <c r="C539" s="88">
        <v>2</v>
      </c>
      <c r="D539" s="110">
        <v>0.005291136264611078</v>
      </c>
      <c r="E539" s="110">
        <v>2.2612628687924934</v>
      </c>
      <c r="F539" s="88" t="s">
        <v>1779</v>
      </c>
      <c r="G539" s="88" t="b">
        <v>0</v>
      </c>
      <c r="H539" s="88" t="b">
        <v>0</v>
      </c>
      <c r="I539" s="88" t="b">
        <v>0</v>
      </c>
      <c r="J539" s="88" t="b">
        <v>0</v>
      </c>
      <c r="K539" s="88" t="b">
        <v>0</v>
      </c>
      <c r="L539" s="88" t="b">
        <v>0</v>
      </c>
    </row>
    <row r="540" spans="1:12" ht="15">
      <c r="A540" s="83" t="s">
        <v>2590</v>
      </c>
      <c r="B540" s="88" t="s">
        <v>1968</v>
      </c>
      <c r="C540" s="88">
        <v>2</v>
      </c>
      <c r="D540" s="110">
        <v>0.005291136264611078</v>
      </c>
      <c r="E540" s="110">
        <v>1.717194824442218</v>
      </c>
      <c r="F540" s="88" t="s">
        <v>1779</v>
      </c>
      <c r="G540" s="88" t="b">
        <v>0</v>
      </c>
      <c r="H540" s="88" t="b">
        <v>0</v>
      </c>
      <c r="I540" s="88" t="b">
        <v>0</v>
      </c>
      <c r="J540" s="88" t="b">
        <v>0</v>
      </c>
      <c r="K540" s="88" t="b">
        <v>0</v>
      </c>
      <c r="L540" s="88" t="b">
        <v>0</v>
      </c>
    </row>
    <row r="541" spans="1:12" ht="15">
      <c r="A541" s="83" t="s">
        <v>1968</v>
      </c>
      <c r="B541" s="88" t="s">
        <v>2591</v>
      </c>
      <c r="C541" s="88">
        <v>2</v>
      </c>
      <c r="D541" s="110">
        <v>0.005291136264611078</v>
      </c>
      <c r="E541" s="110">
        <v>1.717194824442218</v>
      </c>
      <c r="F541" s="88" t="s">
        <v>1779</v>
      </c>
      <c r="G541" s="88" t="b">
        <v>0</v>
      </c>
      <c r="H541" s="88" t="b">
        <v>0</v>
      </c>
      <c r="I541" s="88" t="b">
        <v>0</v>
      </c>
      <c r="J541" s="88" t="b">
        <v>0</v>
      </c>
      <c r="K541" s="88" t="b">
        <v>0</v>
      </c>
      <c r="L541" s="88" t="b">
        <v>0</v>
      </c>
    </row>
    <row r="542" spans="1:12" ht="15">
      <c r="A542" s="83" t="s">
        <v>2591</v>
      </c>
      <c r="B542" s="88" t="s">
        <v>2592</v>
      </c>
      <c r="C542" s="88">
        <v>2</v>
      </c>
      <c r="D542" s="110">
        <v>0.005291136264611078</v>
      </c>
      <c r="E542" s="110">
        <v>2.2612628687924934</v>
      </c>
      <c r="F542" s="88" t="s">
        <v>1779</v>
      </c>
      <c r="G542" s="88" t="b">
        <v>0</v>
      </c>
      <c r="H542" s="88" t="b">
        <v>0</v>
      </c>
      <c r="I542" s="88" t="b">
        <v>0</v>
      </c>
      <c r="J542" s="88" t="b">
        <v>0</v>
      </c>
      <c r="K542" s="88" t="b">
        <v>0</v>
      </c>
      <c r="L542" s="88" t="b">
        <v>0</v>
      </c>
    </row>
    <row r="543" spans="1:12" ht="15">
      <c r="A543" s="83" t="s">
        <v>2592</v>
      </c>
      <c r="B543" s="88" t="s">
        <v>2510</v>
      </c>
      <c r="C543" s="88">
        <v>2</v>
      </c>
      <c r="D543" s="110">
        <v>0.005291136264611078</v>
      </c>
      <c r="E543" s="110">
        <v>2.0851716097368125</v>
      </c>
      <c r="F543" s="88" t="s">
        <v>1779</v>
      </c>
      <c r="G543" s="88" t="b">
        <v>0</v>
      </c>
      <c r="H543" s="88" t="b">
        <v>0</v>
      </c>
      <c r="I543" s="88" t="b">
        <v>0</v>
      </c>
      <c r="J543" s="88" t="b">
        <v>0</v>
      </c>
      <c r="K543" s="88" t="b">
        <v>0</v>
      </c>
      <c r="L543" s="88" t="b">
        <v>0</v>
      </c>
    </row>
    <row r="544" spans="1:12" ht="15">
      <c r="A544" s="83" t="s">
        <v>2510</v>
      </c>
      <c r="B544" s="88" t="s">
        <v>2593</v>
      </c>
      <c r="C544" s="88">
        <v>2</v>
      </c>
      <c r="D544" s="110">
        <v>0.005291136264611078</v>
      </c>
      <c r="E544" s="110">
        <v>2.0851716097368125</v>
      </c>
      <c r="F544" s="88" t="s">
        <v>1779</v>
      </c>
      <c r="G544" s="88" t="b">
        <v>0</v>
      </c>
      <c r="H544" s="88" t="b">
        <v>0</v>
      </c>
      <c r="I544" s="88" t="b">
        <v>0</v>
      </c>
      <c r="J544" s="88" t="b">
        <v>0</v>
      </c>
      <c r="K544" s="88" t="b">
        <v>0</v>
      </c>
      <c r="L544" s="88" t="b">
        <v>0</v>
      </c>
    </row>
    <row r="545" spans="1:12" ht="15">
      <c r="A545" s="83" t="s">
        <v>2593</v>
      </c>
      <c r="B545" s="88" t="s">
        <v>2594</v>
      </c>
      <c r="C545" s="88">
        <v>2</v>
      </c>
      <c r="D545" s="110">
        <v>0.005291136264611078</v>
      </c>
      <c r="E545" s="110">
        <v>2.2612628687924934</v>
      </c>
      <c r="F545" s="88" t="s">
        <v>1779</v>
      </c>
      <c r="G545" s="88" t="b">
        <v>0</v>
      </c>
      <c r="H545" s="88" t="b">
        <v>0</v>
      </c>
      <c r="I545" s="88" t="b">
        <v>0</v>
      </c>
      <c r="J545" s="88" t="b">
        <v>0</v>
      </c>
      <c r="K545" s="88" t="b">
        <v>0</v>
      </c>
      <c r="L545" s="88" t="b">
        <v>0</v>
      </c>
    </row>
    <row r="546" spans="1:12" ht="15">
      <c r="A546" s="83" t="s">
        <v>2594</v>
      </c>
      <c r="B546" s="88" t="s">
        <v>2442</v>
      </c>
      <c r="C546" s="88">
        <v>2</v>
      </c>
      <c r="D546" s="110">
        <v>0.005291136264611078</v>
      </c>
      <c r="E546" s="110">
        <v>1.863322860120456</v>
      </c>
      <c r="F546" s="88" t="s">
        <v>1779</v>
      </c>
      <c r="G546" s="88" t="b">
        <v>0</v>
      </c>
      <c r="H546" s="88" t="b">
        <v>0</v>
      </c>
      <c r="I546" s="88" t="b">
        <v>0</v>
      </c>
      <c r="J546" s="88" t="b">
        <v>0</v>
      </c>
      <c r="K546" s="88" t="b">
        <v>0</v>
      </c>
      <c r="L546" s="88" t="b">
        <v>0</v>
      </c>
    </row>
    <row r="547" spans="1:12" ht="15">
      <c r="A547" s="83" t="s">
        <v>2442</v>
      </c>
      <c r="B547" s="88" t="s">
        <v>2443</v>
      </c>
      <c r="C547" s="88">
        <v>2</v>
      </c>
      <c r="D547" s="110">
        <v>0.005291136264611078</v>
      </c>
      <c r="E547" s="110">
        <v>1.863322860120456</v>
      </c>
      <c r="F547" s="88" t="s">
        <v>1779</v>
      </c>
      <c r="G547" s="88" t="b">
        <v>0</v>
      </c>
      <c r="H547" s="88" t="b">
        <v>0</v>
      </c>
      <c r="I547" s="88" t="b">
        <v>0</v>
      </c>
      <c r="J547" s="88" t="b">
        <v>0</v>
      </c>
      <c r="K547" s="88" t="b">
        <v>0</v>
      </c>
      <c r="L547" s="88" t="b">
        <v>0</v>
      </c>
    </row>
    <row r="548" spans="1:12" ht="15">
      <c r="A548" s="83" t="s">
        <v>2443</v>
      </c>
      <c r="B548" s="88" t="s">
        <v>2595</v>
      </c>
      <c r="C548" s="88">
        <v>2</v>
      </c>
      <c r="D548" s="110">
        <v>0.005291136264611078</v>
      </c>
      <c r="E548" s="110">
        <v>2.2612628687924934</v>
      </c>
      <c r="F548" s="88" t="s">
        <v>1779</v>
      </c>
      <c r="G548" s="88" t="b">
        <v>0</v>
      </c>
      <c r="H548" s="88" t="b">
        <v>0</v>
      </c>
      <c r="I548" s="88" t="b">
        <v>0</v>
      </c>
      <c r="J548" s="88" t="b">
        <v>0</v>
      </c>
      <c r="K548" s="88" t="b">
        <v>0</v>
      </c>
      <c r="L548" s="88" t="b">
        <v>0</v>
      </c>
    </row>
    <row r="549" spans="1:12" ht="15">
      <c r="A549" s="83" t="s">
        <v>2595</v>
      </c>
      <c r="B549" s="88" t="s">
        <v>2511</v>
      </c>
      <c r="C549" s="88">
        <v>2</v>
      </c>
      <c r="D549" s="110">
        <v>0.005291136264611078</v>
      </c>
      <c r="E549" s="110">
        <v>2.2612628687924934</v>
      </c>
      <c r="F549" s="88" t="s">
        <v>1779</v>
      </c>
      <c r="G549" s="88" t="b">
        <v>0</v>
      </c>
      <c r="H549" s="88" t="b">
        <v>0</v>
      </c>
      <c r="I549" s="88" t="b">
        <v>0</v>
      </c>
      <c r="J549" s="88" t="b">
        <v>1</v>
      </c>
      <c r="K549" s="88" t="b">
        <v>0</v>
      </c>
      <c r="L549" s="88" t="b">
        <v>0</v>
      </c>
    </row>
    <row r="550" spans="1:12" ht="15">
      <c r="A550" s="83" t="s">
        <v>2511</v>
      </c>
      <c r="B550" s="88" t="s">
        <v>2596</v>
      </c>
      <c r="C550" s="88">
        <v>2</v>
      </c>
      <c r="D550" s="110">
        <v>0.005291136264611078</v>
      </c>
      <c r="E550" s="110">
        <v>2.2612628687924934</v>
      </c>
      <c r="F550" s="88" t="s">
        <v>1779</v>
      </c>
      <c r="G550" s="88" t="b">
        <v>1</v>
      </c>
      <c r="H550" s="88" t="b">
        <v>0</v>
      </c>
      <c r="I550" s="88" t="b">
        <v>0</v>
      </c>
      <c r="J550" s="88" t="b">
        <v>0</v>
      </c>
      <c r="K550" s="88" t="b">
        <v>0</v>
      </c>
      <c r="L550" s="88" t="b">
        <v>0</v>
      </c>
    </row>
    <row r="551" spans="1:12" ht="15">
      <c r="A551" s="83" t="s">
        <v>2596</v>
      </c>
      <c r="B551" s="88" t="s">
        <v>2512</v>
      </c>
      <c r="C551" s="88">
        <v>2</v>
      </c>
      <c r="D551" s="110">
        <v>0.005291136264611078</v>
      </c>
      <c r="E551" s="110">
        <v>2.0851716097368125</v>
      </c>
      <c r="F551" s="88" t="s">
        <v>1779</v>
      </c>
      <c r="G551" s="88" t="b">
        <v>0</v>
      </c>
      <c r="H551" s="88" t="b">
        <v>0</v>
      </c>
      <c r="I551" s="88" t="b">
        <v>0</v>
      </c>
      <c r="J551" s="88" t="b">
        <v>0</v>
      </c>
      <c r="K551" s="88" t="b">
        <v>0</v>
      </c>
      <c r="L551" s="88" t="b">
        <v>0</v>
      </c>
    </row>
    <row r="552" spans="1:12" ht="15">
      <c r="A552" s="83" t="s">
        <v>2512</v>
      </c>
      <c r="B552" s="88" t="s">
        <v>2597</v>
      </c>
      <c r="C552" s="88">
        <v>2</v>
      </c>
      <c r="D552" s="110">
        <v>0.005291136264611078</v>
      </c>
      <c r="E552" s="110">
        <v>2.0851716097368125</v>
      </c>
      <c r="F552" s="88" t="s">
        <v>1779</v>
      </c>
      <c r="G552" s="88" t="b">
        <v>0</v>
      </c>
      <c r="H552" s="88" t="b">
        <v>0</v>
      </c>
      <c r="I552" s="88" t="b">
        <v>0</v>
      </c>
      <c r="J552" s="88" t="b">
        <v>0</v>
      </c>
      <c r="K552" s="88" t="b">
        <v>0</v>
      </c>
      <c r="L552" s="88" t="b">
        <v>0</v>
      </c>
    </row>
    <row r="553" spans="1:12" ht="15">
      <c r="A553" s="83" t="s">
        <v>2597</v>
      </c>
      <c r="B553" s="88" t="s">
        <v>2598</v>
      </c>
      <c r="C553" s="88">
        <v>2</v>
      </c>
      <c r="D553" s="110">
        <v>0.005291136264611078</v>
      </c>
      <c r="E553" s="110">
        <v>2.2612628687924934</v>
      </c>
      <c r="F553" s="88" t="s">
        <v>1779</v>
      </c>
      <c r="G553" s="88" t="b">
        <v>0</v>
      </c>
      <c r="H553" s="88" t="b">
        <v>0</v>
      </c>
      <c r="I553" s="88" t="b">
        <v>0</v>
      </c>
      <c r="J553" s="88" t="b">
        <v>0</v>
      </c>
      <c r="K553" s="88" t="b">
        <v>0</v>
      </c>
      <c r="L553" s="88" t="b">
        <v>0</v>
      </c>
    </row>
    <row r="554" spans="1:12" ht="15">
      <c r="A554" s="83" t="s">
        <v>2598</v>
      </c>
      <c r="B554" s="88" t="s">
        <v>351</v>
      </c>
      <c r="C554" s="88">
        <v>2</v>
      </c>
      <c r="D554" s="110">
        <v>0.005291136264611078</v>
      </c>
      <c r="E554" s="110">
        <v>2.2612628687924934</v>
      </c>
      <c r="F554" s="88" t="s">
        <v>1779</v>
      </c>
      <c r="G554" s="88" t="b">
        <v>0</v>
      </c>
      <c r="H554" s="88" t="b">
        <v>0</v>
      </c>
      <c r="I554" s="88" t="b">
        <v>0</v>
      </c>
      <c r="J554" s="88" t="b">
        <v>0</v>
      </c>
      <c r="K554" s="88" t="b">
        <v>0</v>
      </c>
      <c r="L554" s="88" t="b">
        <v>0</v>
      </c>
    </row>
    <row r="555" spans="1:12" ht="15">
      <c r="A555" s="83" t="s">
        <v>1979</v>
      </c>
      <c r="B555" s="88" t="s">
        <v>1990</v>
      </c>
      <c r="C555" s="88">
        <v>7</v>
      </c>
      <c r="D555" s="110">
        <v>0.011539312973475884</v>
      </c>
      <c r="E555" s="110">
        <v>1.1139433523068367</v>
      </c>
      <c r="F555" s="88" t="s">
        <v>1780</v>
      </c>
      <c r="G555" s="88" t="b">
        <v>0</v>
      </c>
      <c r="H555" s="88" t="b">
        <v>0</v>
      </c>
      <c r="I555" s="88" t="b">
        <v>0</v>
      </c>
      <c r="J555" s="88" t="b">
        <v>0</v>
      </c>
      <c r="K555" s="88" t="b">
        <v>0</v>
      </c>
      <c r="L555" s="88" t="b">
        <v>0</v>
      </c>
    </row>
    <row r="556" spans="1:12" ht="15">
      <c r="A556" s="83" t="s">
        <v>1990</v>
      </c>
      <c r="B556" s="88" t="s">
        <v>1944</v>
      </c>
      <c r="C556" s="88">
        <v>7</v>
      </c>
      <c r="D556" s="110">
        <v>0.011539312973475884</v>
      </c>
      <c r="E556" s="110">
        <v>1.034762106259212</v>
      </c>
      <c r="F556" s="88" t="s">
        <v>1780</v>
      </c>
      <c r="G556" s="88" t="b">
        <v>0</v>
      </c>
      <c r="H556" s="88" t="b">
        <v>0</v>
      </c>
      <c r="I556" s="88" t="b">
        <v>0</v>
      </c>
      <c r="J556" s="88" t="b">
        <v>0</v>
      </c>
      <c r="K556" s="88" t="b">
        <v>0</v>
      </c>
      <c r="L556" s="88" t="b">
        <v>0</v>
      </c>
    </row>
    <row r="557" spans="1:12" ht="15">
      <c r="A557" s="83" t="s">
        <v>1944</v>
      </c>
      <c r="B557" s="88" t="s">
        <v>1991</v>
      </c>
      <c r="C557" s="88">
        <v>7</v>
      </c>
      <c r="D557" s="110">
        <v>0.011539312973475884</v>
      </c>
      <c r="E557" s="110">
        <v>1.034762106259212</v>
      </c>
      <c r="F557" s="88" t="s">
        <v>1780</v>
      </c>
      <c r="G557" s="88" t="b">
        <v>0</v>
      </c>
      <c r="H557" s="88" t="b">
        <v>0</v>
      </c>
      <c r="I557" s="88" t="b">
        <v>0</v>
      </c>
      <c r="J557" s="88" t="b">
        <v>0</v>
      </c>
      <c r="K557" s="88" t="b">
        <v>0</v>
      </c>
      <c r="L557" s="88" t="b">
        <v>0</v>
      </c>
    </row>
    <row r="558" spans="1:12" ht="15">
      <c r="A558" s="83" t="s">
        <v>1991</v>
      </c>
      <c r="B558" s="88" t="s">
        <v>1992</v>
      </c>
      <c r="C558" s="88">
        <v>7</v>
      </c>
      <c r="D558" s="110">
        <v>0.011539312973475884</v>
      </c>
      <c r="E558" s="110">
        <v>1.26884531229258</v>
      </c>
      <c r="F558" s="88" t="s">
        <v>1780</v>
      </c>
      <c r="G558" s="88" t="b">
        <v>0</v>
      </c>
      <c r="H558" s="88" t="b">
        <v>0</v>
      </c>
      <c r="I558" s="88" t="b">
        <v>0</v>
      </c>
      <c r="J558" s="88" t="b">
        <v>0</v>
      </c>
      <c r="K558" s="88" t="b">
        <v>0</v>
      </c>
      <c r="L558" s="88" t="b">
        <v>0</v>
      </c>
    </row>
    <row r="559" spans="1:12" ht="15">
      <c r="A559" s="83" t="s">
        <v>1992</v>
      </c>
      <c r="B559" s="88" t="s">
        <v>1993</v>
      </c>
      <c r="C559" s="88">
        <v>7</v>
      </c>
      <c r="D559" s="110">
        <v>0.011539312973475884</v>
      </c>
      <c r="E559" s="110">
        <v>1.26884531229258</v>
      </c>
      <c r="F559" s="88" t="s">
        <v>1780</v>
      </c>
      <c r="G559" s="88" t="b">
        <v>0</v>
      </c>
      <c r="H559" s="88" t="b">
        <v>0</v>
      </c>
      <c r="I559" s="88" t="b">
        <v>0</v>
      </c>
      <c r="J559" s="88" t="b">
        <v>0</v>
      </c>
      <c r="K559" s="88" t="b">
        <v>0</v>
      </c>
      <c r="L559" s="88" t="b">
        <v>0</v>
      </c>
    </row>
    <row r="560" spans="1:12" ht="15">
      <c r="A560" s="83" t="s">
        <v>1993</v>
      </c>
      <c r="B560" s="88" t="s">
        <v>1994</v>
      </c>
      <c r="C560" s="88">
        <v>7</v>
      </c>
      <c r="D560" s="110">
        <v>0.011539312973475884</v>
      </c>
      <c r="E560" s="110">
        <v>1.26884531229258</v>
      </c>
      <c r="F560" s="88" t="s">
        <v>1780</v>
      </c>
      <c r="G560" s="88" t="b">
        <v>0</v>
      </c>
      <c r="H560" s="88" t="b">
        <v>0</v>
      </c>
      <c r="I560" s="88" t="b">
        <v>0</v>
      </c>
      <c r="J560" s="88" t="b">
        <v>0</v>
      </c>
      <c r="K560" s="88" t="b">
        <v>0</v>
      </c>
      <c r="L560" s="88" t="b">
        <v>0</v>
      </c>
    </row>
    <row r="561" spans="1:12" ht="15">
      <c r="A561" s="83" t="s">
        <v>1994</v>
      </c>
      <c r="B561" s="88" t="s">
        <v>390</v>
      </c>
      <c r="C561" s="88">
        <v>7</v>
      </c>
      <c r="D561" s="110">
        <v>0.011539312973475884</v>
      </c>
      <c r="E561" s="110">
        <v>1.1139433523068367</v>
      </c>
      <c r="F561" s="88" t="s">
        <v>1780</v>
      </c>
      <c r="G561" s="88" t="b">
        <v>0</v>
      </c>
      <c r="H561" s="88" t="b">
        <v>0</v>
      </c>
      <c r="I561" s="88" t="b">
        <v>0</v>
      </c>
      <c r="J561" s="88" t="b">
        <v>0</v>
      </c>
      <c r="K561" s="88" t="b">
        <v>0</v>
      </c>
      <c r="L561" s="88" t="b">
        <v>0</v>
      </c>
    </row>
    <row r="562" spans="1:12" ht="15">
      <c r="A562" s="83" t="s">
        <v>390</v>
      </c>
      <c r="B562" s="88" t="s">
        <v>1995</v>
      </c>
      <c r="C562" s="88">
        <v>7</v>
      </c>
      <c r="D562" s="110">
        <v>0.011539312973475884</v>
      </c>
      <c r="E562" s="110">
        <v>1.1139433523068367</v>
      </c>
      <c r="F562" s="88" t="s">
        <v>1780</v>
      </c>
      <c r="G562" s="88" t="b">
        <v>0</v>
      </c>
      <c r="H562" s="88" t="b">
        <v>0</v>
      </c>
      <c r="I562" s="88" t="b">
        <v>0</v>
      </c>
      <c r="J562" s="88" t="b">
        <v>1</v>
      </c>
      <c r="K562" s="88" t="b">
        <v>0</v>
      </c>
      <c r="L562" s="88" t="b">
        <v>0</v>
      </c>
    </row>
    <row r="563" spans="1:12" ht="15">
      <c r="A563" s="83" t="s">
        <v>1995</v>
      </c>
      <c r="B563" s="88" t="s">
        <v>2439</v>
      </c>
      <c r="C563" s="88">
        <v>7</v>
      </c>
      <c r="D563" s="110">
        <v>0.011539312973475884</v>
      </c>
      <c r="E563" s="110">
        <v>1.26884531229258</v>
      </c>
      <c r="F563" s="88" t="s">
        <v>1780</v>
      </c>
      <c r="G563" s="88" t="b">
        <v>1</v>
      </c>
      <c r="H563" s="88" t="b">
        <v>0</v>
      </c>
      <c r="I563" s="88" t="b">
        <v>0</v>
      </c>
      <c r="J563" s="88" t="b">
        <v>0</v>
      </c>
      <c r="K563" s="88" t="b">
        <v>0</v>
      </c>
      <c r="L563" s="88" t="b">
        <v>0</v>
      </c>
    </row>
    <row r="564" spans="1:12" ht="15">
      <c r="A564" s="83" t="s">
        <v>2439</v>
      </c>
      <c r="B564" s="88" t="s">
        <v>2440</v>
      </c>
      <c r="C564" s="88">
        <v>7</v>
      </c>
      <c r="D564" s="110">
        <v>0.011539312973475884</v>
      </c>
      <c r="E564" s="110">
        <v>1.26884531229258</v>
      </c>
      <c r="F564" s="88" t="s">
        <v>1780</v>
      </c>
      <c r="G564" s="88" t="b">
        <v>0</v>
      </c>
      <c r="H564" s="88" t="b">
        <v>0</v>
      </c>
      <c r="I564" s="88" t="b">
        <v>0</v>
      </c>
      <c r="J564" s="88" t="b">
        <v>0</v>
      </c>
      <c r="K564" s="88" t="b">
        <v>0</v>
      </c>
      <c r="L564" s="88" t="b">
        <v>0</v>
      </c>
    </row>
    <row r="565" spans="1:12" ht="15">
      <c r="A565" s="83" t="s">
        <v>2440</v>
      </c>
      <c r="B565" s="88" t="s">
        <v>361</v>
      </c>
      <c r="C565" s="88">
        <v>7</v>
      </c>
      <c r="D565" s="110">
        <v>0.011539312973475884</v>
      </c>
      <c r="E565" s="110">
        <v>1.2108533653148932</v>
      </c>
      <c r="F565" s="88" t="s">
        <v>1780</v>
      </c>
      <c r="G565" s="88" t="b">
        <v>0</v>
      </c>
      <c r="H565" s="88" t="b">
        <v>0</v>
      </c>
      <c r="I565" s="88" t="b">
        <v>0</v>
      </c>
      <c r="J565" s="88" t="b">
        <v>0</v>
      </c>
      <c r="K565" s="88" t="b">
        <v>0</v>
      </c>
      <c r="L565" s="88" t="b">
        <v>0</v>
      </c>
    </row>
    <row r="566" spans="1:12" ht="15">
      <c r="A566" s="83" t="s">
        <v>1964</v>
      </c>
      <c r="B566" s="88" t="s">
        <v>1965</v>
      </c>
      <c r="C566" s="88">
        <v>4</v>
      </c>
      <c r="D566" s="110">
        <v>0.013440035344215843</v>
      </c>
      <c r="E566" s="110">
        <v>1.5118833609788744</v>
      </c>
      <c r="F566" s="88" t="s">
        <v>1780</v>
      </c>
      <c r="G566" s="88" t="b">
        <v>0</v>
      </c>
      <c r="H566" s="88" t="b">
        <v>0</v>
      </c>
      <c r="I566" s="88" t="b">
        <v>0</v>
      </c>
      <c r="J566" s="88" t="b">
        <v>0</v>
      </c>
      <c r="K566" s="88" t="b">
        <v>0</v>
      </c>
      <c r="L566" s="88" t="b">
        <v>0</v>
      </c>
    </row>
    <row r="567" spans="1:12" ht="15">
      <c r="A567" s="83" t="s">
        <v>1965</v>
      </c>
      <c r="B567" s="88" t="s">
        <v>1944</v>
      </c>
      <c r="C567" s="88">
        <v>4</v>
      </c>
      <c r="D567" s="110">
        <v>0.013440035344215843</v>
      </c>
      <c r="E567" s="110">
        <v>1.0347621062592118</v>
      </c>
      <c r="F567" s="88" t="s">
        <v>1780</v>
      </c>
      <c r="G567" s="88" t="b">
        <v>0</v>
      </c>
      <c r="H567" s="88" t="b">
        <v>0</v>
      </c>
      <c r="I567" s="88" t="b">
        <v>0</v>
      </c>
      <c r="J567" s="88" t="b">
        <v>0</v>
      </c>
      <c r="K567" s="88" t="b">
        <v>0</v>
      </c>
      <c r="L567" s="88" t="b">
        <v>0</v>
      </c>
    </row>
    <row r="568" spans="1:12" ht="15">
      <c r="A568" s="83" t="s">
        <v>1944</v>
      </c>
      <c r="B568" s="88" t="s">
        <v>1978</v>
      </c>
      <c r="C568" s="88">
        <v>4</v>
      </c>
      <c r="D568" s="110">
        <v>0.013440035344215843</v>
      </c>
      <c r="E568" s="110">
        <v>1.0347621062592118</v>
      </c>
      <c r="F568" s="88" t="s">
        <v>1780</v>
      </c>
      <c r="G568" s="88" t="b">
        <v>0</v>
      </c>
      <c r="H568" s="88" t="b">
        <v>0</v>
      </c>
      <c r="I568" s="88" t="b">
        <v>0</v>
      </c>
      <c r="J568" s="88" t="b">
        <v>0</v>
      </c>
      <c r="K568" s="88" t="b">
        <v>0</v>
      </c>
      <c r="L568" s="88" t="b">
        <v>0</v>
      </c>
    </row>
    <row r="569" spans="1:12" ht="15">
      <c r="A569" s="83" t="s">
        <v>2029</v>
      </c>
      <c r="B569" s="88" t="s">
        <v>2617</v>
      </c>
      <c r="C569" s="88">
        <v>2</v>
      </c>
      <c r="D569" s="110">
        <v>0.010959876765966811</v>
      </c>
      <c r="E569" s="110">
        <v>1.8129133566428555</v>
      </c>
      <c r="F569" s="88" t="s">
        <v>1780</v>
      </c>
      <c r="G569" s="88" t="b">
        <v>0</v>
      </c>
      <c r="H569" s="88" t="b">
        <v>0</v>
      </c>
      <c r="I569" s="88" t="b">
        <v>0</v>
      </c>
      <c r="J569" s="88" t="b">
        <v>0</v>
      </c>
      <c r="K569" s="88" t="b">
        <v>0</v>
      </c>
      <c r="L569" s="88" t="b">
        <v>0</v>
      </c>
    </row>
    <row r="570" spans="1:12" ht="15">
      <c r="A570" s="83" t="s">
        <v>2617</v>
      </c>
      <c r="B570" s="88" t="s">
        <v>2006</v>
      </c>
      <c r="C570" s="88">
        <v>2</v>
      </c>
      <c r="D570" s="110">
        <v>0.010959876765966811</v>
      </c>
      <c r="E570" s="110">
        <v>1.8129133566428555</v>
      </c>
      <c r="F570" s="88" t="s">
        <v>1780</v>
      </c>
      <c r="G570" s="88" t="b">
        <v>0</v>
      </c>
      <c r="H570" s="88" t="b">
        <v>0</v>
      </c>
      <c r="I570" s="88" t="b">
        <v>0</v>
      </c>
      <c r="J570" s="88" t="b">
        <v>0</v>
      </c>
      <c r="K570" s="88" t="b">
        <v>0</v>
      </c>
      <c r="L570" s="88" t="b">
        <v>0</v>
      </c>
    </row>
    <row r="571" spans="1:12" ht="15">
      <c r="A571" s="83" t="s">
        <v>2006</v>
      </c>
      <c r="B571" s="88" t="s">
        <v>390</v>
      </c>
      <c r="C571" s="88">
        <v>2</v>
      </c>
      <c r="D571" s="110">
        <v>0.010959876765966811</v>
      </c>
      <c r="E571" s="110">
        <v>1.1139433523068367</v>
      </c>
      <c r="F571" s="88" t="s">
        <v>1780</v>
      </c>
      <c r="G571" s="88" t="b">
        <v>0</v>
      </c>
      <c r="H571" s="88" t="b">
        <v>0</v>
      </c>
      <c r="I571" s="88" t="b">
        <v>0</v>
      </c>
      <c r="J571" s="88" t="b">
        <v>0</v>
      </c>
      <c r="K571" s="88" t="b">
        <v>0</v>
      </c>
      <c r="L571" s="88" t="b">
        <v>0</v>
      </c>
    </row>
    <row r="572" spans="1:12" ht="15">
      <c r="A572" s="83" t="s">
        <v>390</v>
      </c>
      <c r="B572" s="88" t="s">
        <v>2433</v>
      </c>
      <c r="C572" s="88">
        <v>2</v>
      </c>
      <c r="D572" s="110">
        <v>0.010959876765966811</v>
      </c>
      <c r="E572" s="110">
        <v>1.1139433523068367</v>
      </c>
      <c r="F572" s="88" t="s">
        <v>1780</v>
      </c>
      <c r="G572" s="88" t="b">
        <v>0</v>
      </c>
      <c r="H572" s="88" t="b">
        <v>0</v>
      </c>
      <c r="I572" s="88" t="b">
        <v>0</v>
      </c>
      <c r="J572" s="88" t="b">
        <v>0</v>
      </c>
      <c r="K572" s="88" t="b">
        <v>0</v>
      </c>
      <c r="L572" s="88" t="b">
        <v>0</v>
      </c>
    </row>
    <row r="573" spans="1:12" ht="15">
      <c r="A573" s="83" t="s">
        <v>2433</v>
      </c>
      <c r="B573" s="88" t="s">
        <v>1964</v>
      </c>
      <c r="C573" s="88">
        <v>2</v>
      </c>
      <c r="D573" s="110">
        <v>0.010959876765966811</v>
      </c>
      <c r="E573" s="110">
        <v>1.5118833609788744</v>
      </c>
      <c r="F573" s="88" t="s">
        <v>1780</v>
      </c>
      <c r="G573" s="88" t="b">
        <v>0</v>
      </c>
      <c r="H573" s="88" t="b">
        <v>0</v>
      </c>
      <c r="I573" s="88" t="b">
        <v>0</v>
      </c>
      <c r="J573" s="88" t="b">
        <v>0</v>
      </c>
      <c r="K573" s="88" t="b">
        <v>0</v>
      </c>
      <c r="L573" s="88" t="b">
        <v>0</v>
      </c>
    </row>
    <row r="574" spans="1:12" ht="15">
      <c r="A574" s="83" t="s">
        <v>1978</v>
      </c>
      <c r="B574" s="88" t="s">
        <v>1968</v>
      </c>
      <c r="C574" s="88">
        <v>2</v>
      </c>
      <c r="D574" s="110">
        <v>0.010959876765966811</v>
      </c>
      <c r="E574" s="110">
        <v>1.5118833609788744</v>
      </c>
      <c r="F574" s="88" t="s">
        <v>1780</v>
      </c>
      <c r="G574" s="88" t="b">
        <v>0</v>
      </c>
      <c r="H574" s="88" t="b">
        <v>0</v>
      </c>
      <c r="I574" s="88" t="b">
        <v>0</v>
      </c>
      <c r="J574" s="88" t="b">
        <v>0</v>
      </c>
      <c r="K574" s="88" t="b">
        <v>0</v>
      </c>
      <c r="L574" s="88" t="b">
        <v>0</v>
      </c>
    </row>
    <row r="575" spans="1:12" ht="15">
      <c r="A575" s="83" t="s">
        <v>1968</v>
      </c>
      <c r="B575" s="88" t="s">
        <v>394</v>
      </c>
      <c r="C575" s="88">
        <v>2</v>
      </c>
      <c r="D575" s="110">
        <v>0.010959876765966811</v>
      </c>
      <c r="E575" s="110">
        <v>1.8129133566428555</v>
      </c>
      <c r="F575" s="88" t="s">
        <v>1780</v>
      </c>
      <c r="G575" s="88" t="b">
        <v>0</v>
      </c>
      <c r="H575" s="88" t="b">
        <v>0</v>
      </c>
      <c r="I575" s="88" t="b">
        <v>0</v>
      </c>
      <c r="J575" s="88" t="b">
        <v>0</v>
      </c>
      <c r="K575" s="88" t="b">
        <v>0</v>
      </c>
      <c r="L575" s="88" t="b">
        <v>0</v>
      </c>
    </row>
    <row r="576" spans="1:12" ht="15">
      <c r="A576" s="83" t="s">
        <v>394</v>
      </c>
      <c r="B576" s="88" t="s">
        <v>362</v>
      </c>
      <c r="C576" s="88">
        <v>2</v>
      </c>
      <c r="D576" s="110">
        <v>0.010959876765966811</v>
      </c>
      <c r="E576" s="110">
        <v>1.5118833609788744</v>
      </c>
      <c r="F576" s="88" t="s">
        <v>1780</v>
      </c>
      <c r="G576" s="88" t="b">
        <v>0</v>
      </c>
      <c r="H576" s="88" t="b">
        <v>0</v>
      </c>
      <c r="I576" s="88" t="b">
        <v>0</v>
      </c>
      <c r="J576" s="88" t="b">
        <v>0</v>
      </c>
      <c r="K576" s="88" t="b">
        <v>0</v>
      </c>
      <c r="L576" s="88" t="b">
        <v>0</v>
      </c>
    </row>
    <row r="577" spans="1:12" ht="15">
      <c r="A577" s="83" t="s">
        <v>1976</v>
      </c>
      <c r="B577" s="88" t="s">
        <v>1977</v>
      </c>
      <c r="C577" s="88">
        <v>2</v>
      </c>
      <c r="D577" s="110">
        <v>0.010959876765966811</v>
      </c>
      <c r="E577" s="110">
        <v>1.8129133566428555</v>
      </c>
      <c r="F577" s="88" t="s">
        <v>1780</v>
      </c>
      <c r="G577" s="88" t="b">
        <v>0</v>
      </c>
      <c r="H577" s="88" t="b">
        <v>0</v>
      </c>
      <c r="I577" s="88" t="b">
        <v>0</v>
      </c>
      <c r="J577" s="88" t="b">
        <v>0</v>
      </c>
      <c r="K577" s="88" t="b">
        <v>0</v>
      </c>
      <c r="L577" s="88" t="b">
        <v>0</v>
      </c>
    </row>
    <row r="578" spans="1:12" ht="15">
      <c r="A578" s="83" t="s">
        <v>1977</v>
      </c>
      <c r="B578" s="88" t="s">
        <v>1981</v>
      </c>
      <c r="C578" s="88">
        <v>2</v>
      </c>
      <c r="D578" s="110">
        <v>0.010959876765966811</v>
      </c>
      <c r="E578" s="110">
        <v>1.8129133566428555</v>
      </c>
      <c r="F578" s="88" t="s">
        <v>1780</v>
      </c>
      <c r="G578" s="88" t="b">
        <v>0</v>
      </c>
      <c r="H578" s="88" t="b">
        <v>0</v>
      </c>
      <c r="I578" s="88" t="b">
        <v>0</v>
      </c>
      <c r="J578" s="88" t="b">
        <v>0</v>
      </c>
      <c r="K578" s="88" t="b">
        <v>0</v>
      </c>
      <c r="L578" s="88" t="b">
        <v>0</v>
      </c>
    </row>
    <row r="579" spans="1:12" ht="15">
      <c r="A579" s="83" t="s">
        <v>1981</v>
      </c>
      <c r="B579" s="88" t="s">
        <v>1964</v>
      </c>
      <c r="C579" s="88">
        <v>2</v>
      </c>
      <c r="D579" s="110">
        <v>0.010959876765966811</v>
      </c>
      <c r="E579" s="110">
        <v>1.5118833609788744</v>
      </c>
      <c r="F579" s="88" t="s">
        <v>1780</v>
      </c>
      <c r="G579" s="88" t="b">
        <v>0</v>
      </c>
      <c r="H579" s="88" t="b">
        <v>0</v>
      </c>
      <c r="I579" s="88" t="b">
        <v>0</v>
      </c>
      <c r="J579" s="88" t="b">
        <v>0</v>
      </c>
      <c r="K579" s="88" t="b">
        <v>0</v>
      </c>
      <c r="L579" s="88" t="b">
        <v>0</v>
      </c>
    </row>
    <row r="580" spans="1:12" ht="15">
      <c r="A580" s="83" t="s">
        <v>1978</v>
      </c>
      <c r="B580" s="88" t="s">
        <v>1982</v>
      </c>
      <c r="C580" s="88">
        <v>2</v>
      </c>
      <c r="D580" s="110">
        <v>0.010959876765966811</v>
      </c>
      <c r="E580" s="110">
        <v>1.5118833609788744</v>
      </c>
      <c r="F580" s="88" t="s">
        <v>1780</v>
      </c>
      <c r="G580" s="88" t="b">
        <v>0</v>
      </c>
      <c r="H580" s="88" t="b">
        <v>0</v>
      </c>
      <c r="I580" s="88" t="b">
        <v>0</v>
      </c>
      <c r="J580" s="88" t="b">
        <v>0</v>
      </c>
      <c r="K580" s="88" t="b">
        <v>0</v>
      </c>
      <c r="L580" s="88" t="b">
        <v>0</v>
      </c>
    </row>
    <row r="581" spans="1:12" ht="15">
      <c r="A581" s="83" t="s">
        <v>1982</v>
      </c>
      <c r="B581" s="88" t="s">
        <v>1979</v>
      </c>
      <c r="C581" s="88">
        <v>2</v>
      </c>
      <c r="D581" s="110">
        <v>0.010959876765966811</v>
      </c>
      <c r="E581" s="110">
        <v>1.6368220975871743</v>
      </c>
      <c r="F581" s="88" t="s">
        <v>1780</v>
      </c>
      <c r="G581" s="88" t="b">
        <v>0</v>
      </c>
      <c r="H581" s="88" t="b">
        <v>0</v>
      </c>
      <c r="I581" s="88" t="b">
        <v>0</v>
      </c>
      <c r="J581" s="88" t="b">
        <v>0</v>
      </c>
      <c r="K581" s="88" t="b">
        <v>0</v>
      </c>
      <c r="L581" s="88" t="b">
        <v>0</v>
      </c>
    </row>
    <row r="582" spans="1:12" ht="15">
      <c r="A582" s="83" t="s">
        <v>1979</v>
      </c>
      <c r="B582" s="88" t="s">
        <v>1980</v>
      </c>
      <c r="C582" s="88">
        <v>2</v>
      </c>
      <c r="D582" s="110">
        <v>0.010959876765966811</v>
      </c>
      <c r="E582" s="110">
        <v>1.1139433523068367</v>
      </c>
      <c r="F582" s="88" t="s">
        <v>1780</v>
      </c>
      <c r="G582" s="88" t="b">
        <v>0</v>
      </c>
      <c r="H582" s="88" t="b">
        <v>0</v>
      </c>
      <c r="I582" s="88" t="b">
        <v>0</v>
      </c>
      <c r="J582" s="88" t="b">
        <v>0</v>
      </c>
      <c r="K582" s="88" t="b">
        <v>0</v>
      </c>
      <c r="L582" s="88" t="b">
        <v>0</v>
      </c>
    </row>
    <row r="583" spans="1:12" ht="15">
      <c r="A583" s="83" t="s">
        <v>1980</v>
      </c>
      <c r="B583" s="88" t="s">
        <v>362</v>
      </c>
      <c r="C583" s="88">
        <v>2</v>
      </c>
      <c r="D583" s="110">
        <v>0.010959876765966811</v>
      </c>
      <c r="E583" s="110">
        <v>1.5118833609788744</v>
      </c>
      <c r="F583" s="88" t="s">
        <v>1780</v>
      </c>
      <c r="G583" s="88" t="b">
        <v>0</v>
      </c>
      <c r="H583" s="88" t="b">
        <v>0</v>
      </c>
      <c r="I583" s="88" t="b">
        <v>0</v>
      </c>
      <c r="J583" s="88" t="b">
        <v>0</v>
      </c>
      <c r="K583" s="88" t="b">
        <v>0</v>
      </c>
      <c r="L583" s="88" t="b">
        <v>0</v>
      </c>
    </row>
    <row r="584" spans="1:12" ht="15">
      <c r="A584" s="83" t="s">
        <v>1970</v>
      </c>
      <c r="B584" s="88" t="s">
        <v>1965</v>
      </c>
      <c r="C584" s="88">
        <v>5</v>
      </c>
      <c r="D584" s="110">
        <v>0.00827005482593355</v>
      </c>
      <c r="E584" s="110">
        <v>1.1991565631243746</v>
      </c>
      <c r="F584" s="88" t="s">
        <v>1781</v>
      </c>
      <c r="G584" s="88" t="b">
        <v>0</v>
      </c>
      <c r="H584" s="88" t="b">
        <v>0</v>
      </c>
      <c r="I584" s="88" t="b">
        <v>0</v>
      </c>
      <c r="J584" s="88" t="b">
        <v>0</v>
      </c>
      <c r="K584" s="88" t="b">
        <v>0</v>
      </c>
      <c r="L584" s="88" t="b">
        <v>0</v>
      </c>
    </row>
    <row r="585" spans="1:12" ht="15">
      <c r="A585" s="83" t="s">
        <v>1965</v>
      </c>
      <c r="B585" s="88" t="s">
        <v>1944</v>
      </c>
      <c r="C585" s="88">
        <v>5</v>
      </c>
      <c r="D585" s="110">
        <v>0.005607691831206725</v>
      </c>
      <c r="E585" s="110">
        <v>0.8189453214127685</v>
      </c>
      <c r="F585" s="88" t="s">
        <v>1781</v>
      </c>
      <c r="G585" s="88" t="b">
        <v>0</v>
      </c>
      <c r="H585" s="88" t="b">
        <v>0</v>
      </c>
      <c r="I585" s="88" t="b">
        <v>0</v>
      </c>
      <c r="J585" s="88" t="b">
        <v>0</v>
      </c>
      <c r="K585" s="88" t="b">
        <v>0</v>
      </c>
      <c r="L585" s="88" t="b">
        <v>0</v>
      </c>
    </row>
    <row r="586" spans="1:12" ht="15">
      <c r="A586" s="83" t="s">
        <v>1997</v>
      </c>
      <c r="B586" s="88" t="s">
        <v>1944</v>
      </c>
      <c r="C586" s="88">
        <v>5</v>
      </c>
      <c r="D586" s="110">
        <v>0.005607691831206725</v>
      </c>
      <c r="E586" s="110">
        <v>0.9572480195790501</v>
      </c>
      <c r="F586" s="88" t="s">
        <v>1781</v>
      </c>
      <c r="G586" s="88" t="b">
        <v>0</v>
      </c>
      <c r="H586" s="88" t="b">
        <v>0</v>
      </c>
      <c r="I586" s="88" t="b">
        <v>0</v>
      </c>
      <c r="J586" s="88" t="b">
        <v>0</v>
      </c>
      <c r="K586" s="88" t="b">
        <v>0</v>
      </c>
      <c r="L586" s="88" t="b">
        <v>0</v>
      </c>
    </row>
    <row r="587" spans="1:12" ht="15">
      <c r="A587" s="83" t="s">
        <v>1964</v>
      </c>
      <c r="B587" s="88" t="s">
        <v>1965</v>
      </c>
      <c r="C587" s="88">
        <v>4</v>
      </c>
      <c r="D587" s="110">
        <v>0.009361950159830355</v>
      </c>
      <c r="E587" s="110">
        <v>1.1022465501163183</v>
      </c>
      <c r="F587" s="88" t="s">
        <v>1781</v>
      </c>
      <c r="G587" s="88" t="b">
        <v>0</v>
      </c>
      <c r="H587" s="88" t="b">
        <v>0</v>
      </c>
      <c r="I587" s="88" t="b">
        <v>0</v>
      </c>
      <c r="J587" s="88" t="b">
        <v>0</v>
      </c>
      <c r="K587" s="88" t="b">
        <v>0</v>
      </c>
      <c r="L587" s="88" t="b">
        <v>0</v>
      </c>
    </row>
    <row r="588" spans="1:12" ht="15">
      <c r="A588" s="83" t="s">
        <v>2464</v>
      </c>
      <c r="B588" s="88" t="s">
        <v>1997</v>
      </c>
      <c r="C588" s="88">
        <v>3</v>
      </c>
      <c r="D588" s="110">
        <v>0.007021462619872766</v>
      </c>
      <c r="E588" s="110">
        <v>1.3374592612906562</v>
      </c>
      <c r="F588" s="88" t="s">
        <v>1781</v>
      </c>
      <c r="G588" s="88" t="b">
        <v>0</v>
      </c>
      <c r="H588" s="88" t="b">
        <v>0</v>
      </c>
      <c r="I588" s="88" t="b">
        <v>0</v>
      </c>
      <c r="J588" s="88" t="b">
        <v>0</v>
      </c>
      <c r="K588" s="88" t="b">
        <v>0</v>
      </c>
      <c r="L588" s="88" t="b">
        <v>0</v>
      </c>
    </row>
    <row r="589" spans="1:12" ht="15">
      <c r="A589" s="83" t="s">
        <v>1944</v>
      </c>
      <c r="B589" s="88" t="s">
        <v>2012</v>
      </c>
      <c r="C589" s="88">
        <v>3</v>
      </c>
      <c r="D589" s="110">
        <v>0.007021462619872766</v>
      </c>
      <c r="E589" s="110">
        <v>1.161368002234975</v>
      </c>
      <c r="F589" s="88" t="s">
        <v>1781</v>
      </c>
      <c r="G589" s="88" t="b">
        <v>0</v>
      </c>
      <c r="H589" s="88" t="b">
        <v>0</v>
      </c>
      <c r="I589" s="88" t="b">
        <v>0</v>
      </c>
      <c r="J589" s="88" t="b">
        <v>0</v>
      </c>
      <c r="K589" s="88" t="b">
        <v>0</v>
      </c>
      <c r="L589" s="88" t="b">
        <v>0</v>
      </c>
    </row>
    <row r="590" spans="1:12" ht="15">
      <c r="A590" s="83" t="s">
        <v>2680</v>
      </c>
      <c r="B590" s="88" t="s">
        <v>1998</v>
      </c>
      <c r="C590" s="88">
        <v>2</v>
      </c>
      <c r="D590" s="110">
        <v>0.00661604386074684</v>
      </c>
      <c r="E590" s="110">
        <v>1.541579243946581</v>
      </c>
      <c r="F590" s="88" t="s">
        <v>1781</v>
      </c>
      <c r="G590" s="88" t="b">
        <v>0</v>
      </c>
      <c r="H590" s="88" t="b">
        <v>0</v>
      </c>
      <c r="I590" s="88" t="b">
        <v>0</v>
      </c>
      <c r="J590" s="88" t="b">
        <v>0</v>
      </c>
      <c r="K590" s="88" t="b">
        <v>1</v>
      </c>
      <c r="L590" s="88" t="b">
        <v>0</v>
      </c>
    </row>
    <row r="591" spans="1:12" ht="15">
      <c r="A591" s="83" t="s">
        <v>1998</v>
      </c>
      <c r="B591" s="88" t="s">
        <v>2681</v>
      </c>
      <c r="C591" s="88">
        <v>2</v>
      </c>
      <c r="D591" s="110">
        <v>0.00661604386074684</v>
      </c>
      <c r="E591" s="110">
        <v>1.541579243946581</v>
      </c>
      <c r="F591" s="88" t="s">
        <v>1781</v>
      </c>
      <c r="G591" s="88" t="b">
        <v>0</v>
      </c>
      <c r="H591" s="88" t="b">
        <v>1</v>
      </c>
      <c r="I591" s="88" t="b">
        <v>0</v>
      </c>
      <c r="J591" s="88" t="b">
        <v>0</v>
      </c>
      <c r="K591" s="88" t="b">
        <v>0</v>
      </c>
      <c r="L591" s="88" t="b">
        <v>0</v>
      </c>
    </row>
    <row r="592" spans="1:12" ht="15">
      <c r="A592" s="83" t="s">
        <v>2681</v>
      </c>
      <c r="B592" s="88" t="s">
        <v>2682</v>
      </c>
      <c r="C592" s="88">
        <v>2</v>
      </c>
      <c r="D592" s="110">
        <v>0.00661604386074684</v>
      </c>
      <c r="E592" s="110">
        <v>1.9395192526186185</v>
      </c>
      <c r="F592" s="88" t="s">
        <v>1781</v>
      </c>
      <c r="G592" s="88" t="b">
        <v>0</v>
      </c>
      <c r="H592" s="88" t="b">
        <v>0</v>
      </c>
      <c r="I592" s="88" t="b">
        <v>0</v>
      </c>
      <c r="J592" s="88" t="b">
        <v>0</v>
      </c>
      <c r="K592" s="88" t="b">
        <v>0</v>
      </c>
      <c r="L592" s="88" t="b">
        <v>0</v>
      </c>
    </row>
    <row r="593" spans="1:12" ht="15">
      <c r="A593" s="83" t="s">
        <v>2682</v>
      </c>
      <c r="B593" s="88" t="s">
        <v>2683</v>
      </c>
      <c r="C593" s="88">
        <v>2</v>
      </c>
      <c r="D593" s="110">
        <v>0.00661604386074684</v>
      </c>
      <c r="E593" s="110">
        <v>1.9395192526186185</v>
      </c>
      <c r="F593" s="88" t="s">
        <v>1781</v>
      </c>
      <c r="G593" s="88" t="b">
        <v>0</v>
      </c>
      <c r="H593" s="88" t="b">
        <v>0</v>
      </c>
      <c r="I593" s="88" t="b">
        <v>0</v>
      </c>
      <c r="J593" s="88" t="b">
        <v>0</v>
      </c>
      <c r="K593" s="88" t="b">
        <v>0</v>
      </c>
      <c r="L593" s="88" t="b">
        <v>0</v>
      </c>
    </row>
    <row r="594" spans="1:12" ht="15">
      <c r="A594" s="83" t="s">
        <v>2683</v>
      </c>
      <c r="B594" s="88" t="s">
        <v>1941</v>
      </c>
      <c r="C594" s="88">
        <v>2</v>
      </c>
      <c r="D594" s="110">
        <v>0.00661604386074684</v>
      </c>
      <c r="E594" s="110">
        <v>1.9395192526186185</v>
      </c>
      <c r="F594" s="88" t="s">
        <v>1781</v>
      </c>
      <c r="G594" s="88" t="b">
        <v>0</v>
      </c>
      <c r="H594" s="88" t="b">
        <v>0</v>
      </c>
      <c r="I594" s="88" t="b">
        <v>0</v>
      </c>
      <c r="J594" s="88" t="b">
        <v>0</v>
      </c>
      <c r="K594" s="88" t="b">
        <v>0</v>
      </c>
      <c r="L594" s="88" t="b">
        <v>0</v>
      </c>
    </row>
    <row r="595" spans="1:12" ht="15">
      <c r="A595" s="83" t="s">
        <v>1941</v>
      </c>
      <c r="B595" s="88" t="s">
        <v>2000</v>
      </c>
      <c r="C595" s="88">
        <v>2</v>
      </c>
      <c r="D595" s="110">
        <v>0.00661604386074684</v>
      </c>
      <c r="E595" s="110">
        <v>1.7634279935629373</v>
      </c>
      <c r="F595" s="88" t="s">
        <v>1781</v>
      </c>
      <c r="G595" s="88" t="b">
        <v>0</v>
      </c>
      <c r="H595" s="88" t="b">
        <v>0</v>
      </c>
      <c r="I595" s="88" t="b">
        <v>0</v>
      </c>
      <c r="J595" s="88" t="b">
        <v>0</v>
      </c>
      <c r="K595" s="88" t="b">
        <v>0</v>
      </c>
      <c r="L595" s="88" t="b">
        <v>0</v>
      </c>
    </row>
    <row r="596" spans="1:12" ht="15">
      <c r="A596" s="83" t="s">
        <v>2000</v>
      </c>
      <c r="B596" s="88" t="s">
        <v>2684</v>
      </c>
      <c r="C596" s="88">
        <v>2</v>
      </c>
      <c r="D596" s="110">
        <v>0.00661604386074684</v>
      </c>
      <c r="E596" s="110">
        <v>1.7634279935629373</v>
      </c>
      <c r="F596" s="88" t="s">
        <v>1781</v>
      </c>
      <c r="G596" s="88" t="b">
        <v>0</v>
      </c>
      <c r="H596" s="88" t="b">
        <v>0</v>
      </c>
      <c r="I596" s="88" t="b">
        <v>0</v>
      </c>
      <c r="J596" s="88" t="b">
        <v>0</v>
      </c>
      <c r="K596" s="88" t="b">
        <v>0</v>
      </c>
      <c r="L596" s="88" t="b">
        <v>0</v>
      </c>
    </row>
    <row r="597" spans="1:12" ht="15">
      <c r="A597" s="83" t="s">
        <v>2684</v>
      </c>
      <c r="B597" s="88" t="s">
        <v>2506</v>
      </c>
      <c r="C597" s="88">
        <v>2</v>
      </c>
      <c r="D597" s="110">
        <v>0.00661604386074684</v>
      </c>
      <c r="E597" s="110">
        <v>1.9395192526186185</v>
      </c>
      <c r="F597" s="88" t="s">
        <v>1781</v>
      </c>
      <c r="G597" s="88" t="b">
        <v>0</v>
      </c>
      <c r="H597" s="88" t="b">
        <v>0</v>
      </c>
      <c r="I597" s="88" t="b">
        <v>0</v>
      </c>
      <c r="J597" s="88" t="b">
        <v>0</v>
      </c>
      <c r="K597" s="88" t="b">
        <v>0</v>
      </c>
      <c r="L597" s="88" t="b">
        <v>0</v>
      </c>
    </row>
    <row r="598" spans="1:12" ht="15">
      <c r="A598" s="83" t="s">
        <v>2506</v>
      </c>
      <c r="B598" s="88" t="s">
        <v>2685</v>
      </c>
      <c r="C598" s="88">
        <v>2</v>
      </c>
      <c r="D598" s="110">
        <v>0.00661604386074684</v>
      </c>
      <c r="E598" s="110">
        <v>1.9395192526186185</v>
      </c>
      <c r="F598" s="88" t="s">
        <v>1781</v>
      </c>
      <c r="G598" s="88" t="b">
        <v>0</v>
      </c>
      <c r="H598" s="88" t="b">
        <v>0</v>
      </c>
      <c r="I598" s="88" t="b">
        <v>0</v>
      </c>
      <c r="J598" s="88" t="b">
        <v>1</v>
      </c>
      <c r="K598" s="88" t="b">
        <v>0</v>
      </c>
      <c r="L598" s="88" t="b">
        <v>0</v>
      </c>
    </row>
    <row r="599" spans="1:12" ht="15">
      <c r="A599" s="83" t="s">
        <v>2685</v>
      </c>
      <c r="B599" s="88" t="s">
        <v>2456</v>
      </c>
      <c r="C599" s="88">
        <v>2</v>
      </c>
      <c r="D599" s="110">
        <v>0.00661604386074684</v>
      </c>
      <c r="E599" s="110">
        <v>1.9395192526186185</v>
      </c>
      <c r="F599" s="88" t="s">
        <v>1781</v>
      </c>
      <c r="G599" s="88" t="b">
        <v>1</v>
      </c>
      <c r="H599" s="88" t="b">
        <v>0</v>
      </c>
      <c r="I599" s="88" t="b">
        <v>0</v>
      </c>
      <c r="J599" s="88" t="b">
        <v>0</v>
      </c>
      <c r="K599" s="88" t="b">
        <v>0</v>
      </c>
      <c r="L599" s="88" t="b">
        <v>0</v>
      </c>
    </row>
    <row r="600" spans="1:12" ht="15">
      <c r="A600" s="83" t="s">
        <v>2456</v>
      </c>
      <c r="B600" s="88" t="s">
        <v>2686</v>
      </c>
      <c r="C600" s="88">
        <v>2</v>
      </c>
      <c r="D600" s="110">
        <v>0.00661604386074684</v>
      </c>
      <c r="E600" s="110">
        <v>1.9395192526186185</v>
      </c>
      <c r="F600" s="88" t="s">
        <v>1781</v>
      </c>
      <c r="G600" s="88" t="b">
        <v>0</v>
      </c>
      <c r="H600" s="88" t="b">
        <v>0</v>
      </c>
      <c r="I600" s="88" t="b">
        <v>0</v>
      </c>
      <c r="J600" s="88" t="b">
        <v>0</v>
      </c>
      <c r="K600" s="88" t="b">
        <v>0</v>
      </c>
      <c r="L600" s="88" t="b">
        <v>0</v>
      </c>
    </row>
    <row r="601" spans="1:12" ht="15">
      <c r="A601" s="83" t="s">
        <v>2686</v>
      </c>
      <c r="B601" s="88" t="s">
        <v>2687</v>
      </c>
      <c r="C601" s="88">
        <v>2</v>
      </c>
      <c r="D601" s="110">
        <v>0.00661604386074684</v>
      </c>
      <c r="E601" s="110">
        <v>1.9395192526186185</v>
      </c>
      <c r="F601" s="88" t="s">
        <v>1781</v>
      </c>
      <c r="G601" s="88" t="b">
        <v>0</v>
      </c>
      <c r="H601" s="88" t="b">
        <v>0</v>
      </c>
      <c r="I601" s="88" t="b">
        <v>0</v>
      </c>
      <c r="J601" s="88" t="b">
        <v>0</v>
      </c>
      <c r="K601" s="88" t="b">
        <v>0</v>
      </c>
      <c r="L601" s="88" t="b">
        <v>0</v>
      </c>
    </row>
    <row r="602" spans="1:12" ht="15">
      <c r="A602" s="83" t="s">
        <v>2687</v>
      </c>
      <c r="B602" s="88" t="s">
        <v>2688</v>
      </c>
      <c r="C602" s="88">
        <v>2</v>
      </c>
      <c r="D602" s="110">
        <v>0.00661604386074684</v>
      </c>
      <c r="E602" s="110">
        <v>1.9395192526186185</v>
      </c>
      <c r="F602" s="88" t="s">
        <v>1781</v>
      </c>
      <c r="G602" s="88" t="b">
        <v>0</v>
      </c>
      <c r="H602" s="88" t="b">
        <v>0</v>
      </c>
      <c r="I602" s="88" t="b">
        <v>0</v>
      </c>
      <c r="J602" s="88" t="b">
        <v>0</v>
      </c>
      <c r="K602" s="88" t="b">
        <v>0</v>
      </c>
      <c r="L602" s="88" t="b">
        <v>0</v>
      </c>
    </row>
    <row r="603" spans="1:12" ht="15">
      <c r="A603" s="83" t="s">
        <v>2688</v>
      </c>
      <c r="B603" s="88" t="s">
        <v>1999</v>
      </c>
      <c r="C603" s="88">
        <v>2</v>
      </c>
      <c r="D603" s="110">
        <v>0.00661604386074684</v>
      </c>
      <c r="E603" s="110">
        <v>1.6384892569546374</v>
      </c>
      <c r="F603" s="88" t="s">
        <v>1781</v>
      </c>
      <c r="G603" s="88" t="b">
        <v>0</v>
      </c>
      <c r="H603" s="88" t="b">
        <v>0</v>
      </c>
      <c r="I603" s="88" t="b">
        <v>0</v>
      </c>
      <c r="J603" s="88" t="b">
        <v>0</v>
      </c>
      <c r="K603" s="88" t="b">
        <v>0</v>
      </c>
      <c r="L603" s="88" t="b">
        <v>0</v>
      </c>
    </row>
    <row r="604" spans="1:12" ht="15">
      <c r="A604" s="83" t="s">
        <v>1999</v>
      </c>
      <c r="B604" s="88" t="s">
        <v>1965</v>
      </c>
      <c r="C604" s="88">
        <v>2</v>
      </c>
      <c r="D604" s="110">
        <v>0.00661604386074684</v>
      </c>
      <c r="E604" s="110">
        <v>0.8981265674603935</v>
      </c>
      <c r="F604" s="88" t="s">
        <v>1781</v>
      </c>
      <c r="G604" s="88" t="b">
        <v>0</v>
      </c>
      <c r="H604" s="88" t="b">
        <v>0</v>
      </c>
      <c r="I604" s="88" t="b">
        <v>0</v>
      </c>
      <c r="J604" s="88" t="b">
        <v>0</v>
      </c>
      <c r="K604" s="88" t="b">
        <v>0</v>
      </c>
      <c r="L604" s="88" t="b">
        <v>0</v>
      </c>
    </row>
    <row r="605" spans="1:12" ht="15">
      <c r="A605" s="83" t="s">
        <v>1965</v>
      </c>
      <c r="B605" s="88" t="s">
        <v>1997</v>
      </c>
      <c r="C605" s="88">
        <v>2</v>
      </c>
      <c r="D605" s="110">
        <v>0.00661604386074684</v>
      </c>
      <c r="E605" s="110">
        <v>0.5970965717964123</v>
      </c>
      <c r="F605" s="88" t="s">
        <v>1781</v>
      </c>
      <c r="G605" s="88" t="b">
        <v>0</v>
      </c>
      <c r="H605" s="88" t="b">
        <v>0</v>
      </c>
      <c r="I605" s="88" t="b">
        <v>0</v>
      </c>
      <c r="J605" s="88" t="b">
        <v>0</v>
      </c>
      <c r="K605" s="88" t="b">
        <v>0</v>
      </c>
      <c r="L605" s="88" t="b">
        <v>0</v>
      </c>
    </row>
    <row r="606" spans="1:12" ht="15">
      <c r="A606" s="83" t="s">
        <v>1997</v>
      </c>
      <c r="B606" s="88" t="s">
        <v>1998</v>
      </c>
      <c r="C606" s="88">
        <v>2</v>
      </c>
      <c r="D606" s="110">
        <v>0.00661604386074684</v>
      </c>
      <c r="E606" s="110">
        <v>0.9395192526186186</v>
      </c>
      <c r="F606" s="88" t="s">
        <v>1781</v>
      </c>
      <c r="G606" s="88" t="b">
        <v>0</v>
      </c>
      <c r="H606" s="88" t="b">
        <v>0</v>
      </c>
      <c r="I606" s="88" t="b">
        <v>0</v>
      </c>
      <c r="J606" s="88" t="b">
        <v>0</v>
      </c>
      <c r="K606" s="88" t="b">
        <v>1</v>
      </c>
      <c r="L606" s="88" t="b">
        <v>0</v>
      </c>
    </row>
    <row r="607" spans="1:12" ht="15">
      <c r="A607" s="83" t="s">
        <v>1998</v>
      </c>
      <c r="B607" s="88" t="s">
        <v>2689</v>
      </c>
      <c r="C607" s="88">
        <v>2</v>
      </c>
      <c r="D607" s="110">
        <v>0.00661604386074684</v>
      </c>
      <c r="E607" s="110">
        <v>1.541579243946581</v>
      </c>
      <c r="F607" s="88" t="s">
        <v>1781</v>
      </c>
      <c r="G607" s="88" t="b">
        <v>0</v>
      </c>
      <c r="H607" s="88" t="b">
        <v>1</v>
      </c>
      <c r="I607" s="88" t="b">
        <v>0</v>
      </c>
      <c r="J607" s="88" t="b">
        <v>0</v>
      </c>
      <c r="K607" s="88" t="b">
        <v>0</v>
      </c>
      <c r="L607" s="88" t="b">
        <v>0</v>
      </c>
    </row>
    <row r="608" spans="1:12" ht="15">
      <c r="A608" s="83" t="s">
        <v>2689</v>
      </c>
      <c r="B608" s="88" t="s">
        <v>376</v>
      </c>
      <c r="C608" s="88">
        <v>2</v>
      </c>
      <c r="D608" s="110">
        <v>0.00661604386074684</v>
      </c>
      <c r="E608" s="110">
        <v>1.7634279935629373</v>
      </c>
      <c r="F608" s="88" t="s">
        <v>1781</v>
      </c>
      <c r="G608" s="88" t="b">
        <v>0</v>
      </c>
      <c r="H608" s="88" t="b">
        <v>0</v>
      </c>
      <c r="I608" s="88" t="b">
        <v>0</v>
      </c>
      <c r="J608" s="88" t="b">
        <v>0</v>
      </c>
      <c r="K608" s="88" t="b">
        <v>0</v>
      </c>
      <c r="L608" s="88" t="b">
        <v>0</v>
      </c>
    </row>
    <row r="609" spans="1:12" ht="15">
      <c r="A609" s="83" t="s">
        <v>376</v>
      </c>
      <c r="B609" s="88" t="s">
        <v>2690</v>
      </c>
      <c r="C609" s="88">
        <v>2</v>
      </c>
      <c r="D609" s="110">
        <v>0.00661604386074684</v>
      </c>
      <c r="E609" s="110">
        <v>1.7634279935629373</v>
      </c>
      <c r="F609" s="88" t="s">
        <v>1781</v>
      </c>
      <c r="G609" s="88" t="b">
        <v>0</v>
      </c>
      <c r="H609" s="88" t="b">
        <v>0</v>
      </c>
      <c r="I609" s="88" t="b">
        <v>0</v>
      </c>
      <c r="J609" s="88" t="b">
        <v>0</v>
      </c>
      <c r="K609" s="88" t="b">
        <v>0</v>
      </c>
      <c r="L609" s="88" t="b">
        <v>0</v>
      </c>
    </row>
    <row r="610" spans="1:12" ht="15">
      <c r="A610" s="83" t="s">
        <v>2690</v>
      </c>
      <c r="B610" s="88" t="s">
        <v>2464</v>
      </c>
      <c r="C610" s="88">
        <v>2</v>
      </c>
      <c r="D610" s="110">
        <v>0.00661604386074684</v>
      </c>
      <c r="E610" s="110">
        <v>1.7634279935629373</v>
      </c>
      <c r="F610" s="88" t="s">
        <v>1781</v>
      </c>
      <c r="G610" s="88" t="b">
        <v>0</v>
      </c>
      <c r="H610" s="88" t="b">
        <v>0</v>
      </c>
      <c r="I610" s="88" t="b">
        <v>0</v>
      </c>
      <c r="J610" s="88" t="b">
        <v>0</v>
      </c>
      <c r="K610" s="88" t="b">
        <v>0</v>
      </c>
      <c r="L610" s="88" t="b">
        <v>0</v>
      </c>
    </row>
    <row r="611" spans="1:12" ht="15">
      <c r="A611" s="83" t="s">
        <v>1944</v>
      </c>
      <c r="B611" s="88" t="s">
        <v>1970</v>
      </c>
      <c r="C611" s="88">
        <v>2</v>
      </c>
      <c r="D611" s="110">
        <v>0.00661604386074684</v>
      </c>
      <c r="E611" s="110">
        <v>0.7634279935629373</v>
      </c>
      <c r="F611" s="88" t="s">
        <v>1781</v>
      </c>
      <c r="G611" s="88" t="b">
        <v>0</v>
      </c>
      <c r="H611" s="88" t="b">
        <v>0</v>
      </c>
      <c r="I611" s="88" t="b">
        <v>0</v>
      </c>
      <c r="J611" s="88" t="b">
        <v>0</v>
      </c>
      <c r="K611" s="88" t="b">
        <v>0</v>
      </c>
      <c r="L611" s="88" t="b">
        <v>0</v>
      </c>
    </row>
    <row r="612" spans="1:12" ht="15">
      <c r="A612" s="83" t="s">
        <v>2563</v>
      </c>
      <c r="B612" s="88" t="s">
        <v>2435</v>
      </c>
      <c r="C612" s="88">
        <v>2</v>
      </c>
      <c r="D612" s="110">
        <v>0.00661604386074684</v>
      </c>
      <c r="E612" s="110">
        <v>1.9395192526186185</v>
      </c>
      <c r="F612" s="88" t="s">
        <v>1781</v>
      </c>
      <c r="G612" s="88" t="b">
        <v>0</v>
      </c>
      <c r="H612" s="88" t="b">
        <v>0</v>
      </c>
      <c r="I612" s="88" t="b">
        <v>0</v>
      </c>
      <c r="J612" s="88" t="b">
        <v>0</v>
      </c>
      <c r="K612" s="88" t="b">
        <v>0</v>
      </c>
      <c r="L612" s="88" t="b">
        <v>0</v>
      </c>
    </row>
    <row r="613" spans="1:12" ht="15">
      <c r="A613" s="83" t="s">
        <v>2435</v>
      </c>
      <c r="B613" s="88" t="s">
        <v>2697</v>
      </c>
      <c r="C613" s="88">
        <v>2</v>
      </c>
      <c r="D613" s="110">
        <v>0.00661604386074684</v>
      </c>
      <c r="E613" s="110">
        <v>1.9395192526186185</v>
      </c>
      <c r="F613" s="88" t="s">
        <v>1781</v>
      </c>
      <c r="G613" s="88" t="b">
        <v>0</v>
      </c>
      <c r="H613" s="88" t="b">
        <v>0</v>
      </c>
      <c r="I613" s="88" t="b">
        <v>0</v>
      </c>
      <c r="J613" s="88" t="b">
        <v>0</v>
      </c>
      <c r="K613" s="88" t="b">
        <v>0</v>
      </c>
      <c r="L613" s="88" t="b">
        <v>0</v>
      </c>
    </row>
    <row r="614" spans="1:12" ht="15">
      <c r="A614" s="83" t="s">
        <v>2697</v>
      </c>
      <c r="B614" s="88" t="s">
        <v>1944</v>
      </c>
      <c r="C614" s="88">
        <v>2</v>
      </c>
      <c r="D614" s="110">
        <v>0.00661604386074684</v>
      </c>
      <c r="E614" s="110">
        <v>1.161368002234975</v>
      </c>
      <c r="F614" s="88" t="s">
        <v>1781</v>
      </c>
      <c r="G614" s="88" t="b">
        <v>0</v>
      </c>
      <c r="H614" s="88" t="b">
        <v>0</v>
      </c>
      <c r="I614" s="88" t="b">
        <v>0</v>
      </c>
      <c r="J614" s="88" t="b">
        <v>0</v>
      </c>
      <c r="K614" s="88" t="b">
        <v>0</v>
      </c>
      <c r="L614" s="88" t="b">
        <v>0</v>
      </c>
    </row>
    <row r="615" spans="1:12" ht="15">
      <c r="A615" s="83" t="s">
        <v>1944</v>
      </c>
      <c r="B615" s="88" t="s">
        <v>2436</v>
      </c>
      <c r="C615" s="88">
        <v>2</v>
      </c>
      <c r="D615" s="110">
        <v>0.00661604386074684</v>
      </c>
      <c r="E615" s="110">
        <v>1.161368002234975</v>
      </c>
      <c r="F615" s="88" t="s">
        <v>1781</v>
      </c>
      <c r="G615" s="88" t="b">
        <v>0</v>
      </c>
      <c r="H615" s="88" t="b">
        <v>0</v>
      </c>
      <c r="I615" s="88" t="b">
        <v>0</v>
      </c>
      <c r="J615" s="88" t="b">
        <v>0</v>
      </c>
      <c r="K615" s="88" t="b">
        <v>0</v>
      </c>
      <c r="L615" s="88" t="b">
        <v>0</v>
      </c>
    </row>
    <row r="616" spans="1:12" ht="15">
      <c r="A616" s="83" t="s">
        <v>2436</v>
      </c>
      <c r="B616" s="88" t="s">
        <v>1997</v>
      </c>
      <c r="C616" s="88">
        <v>2</v>
      </c>
      <c r="D616" s="110">
        <v>0.00661604386074684</v>
      </c>
      <c r="E616" s="110">
        <v>1.3374592612906562</v>
      </c>
      <c r="F616" s="88" t="s">
        <v>1781</v>
      </c>
      <c r="G616" s="88" t="b">
        <v>0</v>
      </c>
      <c r="H616" s="88" t="b">
        <v>0</v>
      </c>
      <c r="I616" s="88" t="b">
        <v>0</v>
      </c>
      <c r="J616" s="88" t="b">
        <v>0</v>
      </c>
      <c r="K616" s="88" t="b">
        <v>0</v>
      </c>
      <c r="L616" s="88" t="b">
        <v>0</v>
      </c>
    </row>
    <row r="617" spans="1:12" ht="15">
      <c r="A617" s="83" t="s">
        <v>1944</v>
      </c>
      <c r="B617" s="88" t="s">
        <v>2698</v>
      </c>
      <c r="C617" s="88">
        <v>2</v>
      </c>
      <c r="D617" s="110">
        <v>0.00661604386074684</v>
      </c>
      <c r="E617" s="110">
        <v>1.161368002234975</v>
      </c>
      <c r="F617" s="88" t="s">
        <v>1781</v>
      </c>
      <c r="G617" s="88" t="b">
        <v>0</v>
      </c>
      <c r="H617" s="88" t="b">
        <v>0</v>
      </c>
      <c r="I617" s="88" t="b">
        <v>0</v>
      </c>
      <c r="J617" s="88" t="b">
        <v>0</v>
      </c>
      <c r="K617" s="88" t="b">
        <v>0</v>
      </c>
      <c r="L617" s="88" t="b">
        <v>0</v>
      </c>
    </row>
    <row r="618" spans="1:12" ht="15">
      <c r="A618" s="83" t="s">
        <v>2698</v>
      </c>
      <c r="B618" s="88" t="s">
        <v>2502</v>
      </c>
      <c r="C618" s="88">
        <v>2</v>
      </c>
      <c r="D618" s="110">
        <v>0.00661604386074684</v>
      </c>
      <c r="E618" s="110">
        <v>1.9395192526186185</v>
      </c>
      <c r="F618" s="88" t="s">
        <v>1781</v>
      </c>
      <c r="G618" s="88" t="b">
        <v>0</v>
      </c>
      <c r="H618" s="88" t="b">
        <v>0</v>
      </c>
      <c r="I618" s="88" t="b">
        <v>0</v>
      </c>
      <c r="J618" s="88" t="b">
        <v>0</v>
      </c>
      <c r="K618" s="88" t="b">
        <v>0</v>
      </c>
      <c r="L618" s="88" t="b">
        <v>0</v>
      </c>
    </row>
    <row r="619" spans="1:12" ht="15">
      <c r="A619" s="83" t="s">
        <v>2502</v>
      </c>
      <c r="B619" s="88" t="s">
        <v>2565</v>
      </c>
      <c r="C619" s="88">
        <v>2</v>
      </c>
      <c r="D619" s="110">
        <v>0.00661604386074684</v>
      </c>
      <c r="E619" s="110">
        <v>1.7634279935629373</v>
      </c>
      <c r="F619" s="88" t="s">
        <v>1781</v>
      </c>
      <c r="G619" s="88" t="b">
        <v>0</v>
      </c>
      <c r="H619" s="88" t="b">
        <v>0</v>
      </c>
      <c r="I619" s="88" t="b">
        <v>0</v>
      </c>
      <c r="J619" s="88" t="b">
        <v>0</v>
      </c>
      <c r="K619" s="88" t="b">
        <v>0</v>
      </c>
      <c r="L619" s="88" t="b">
        <v>0</v>
      </c>
    </row>
    <row r="620" spans="1:12" ht="15">
      <c r="A620" s="83" t="s">
        <v>2565</v>
      </c>
      <c r="B620" s="88" t="s">
        <v>2564</v>
      </c>
      <c r="C620" s="88">
        <v>2</v>
      </c>
      <c r="D620" s="110">
        <v>0.00661604386074684</v>
      </c>
      <c r="E620" s="110">
        <v>1.9395192526186185</v>
      </c>
      <c r="F620" s="88" t="s">
        <v>1781</v>
      </c>
      <c r="G620" s="88" t="b">
        <v>0</v>
      </c>
      <c r="H620" s="88" t="b">
        <v>0</v>
      </c>
      <c r="I620" s="88" t="b">
        <v>0</v>
      </c>
      <c r="J620" s="88" t="b">
        <v>0</v>
      </c>
      <c r="K620" s="88" t="b">
        <v>0</v>
      </c>
      <c r="L620" s="88" t="b">
        <v>0</v>
      </c>
    </row>
    <row r="621" spans="1:12" ht="15">
      <c r="A621" s="83" t="s">
        <v>2564</v>
      </c>
      <c r="B621" s="88" t="s">
        <v>2699</v>
      </c>
      <c r="C621" s="88">
        <v>2</v>
      </c>
      <c r="D621" s="110">
        <v>0.00661604386074684</v>
      </c>
      <c r="E621" s="110">
        <v>1.9395192526186185</v>
      </c>
      <c r="F621" s="88" t="s">
        <v>1781</v>
      </c>
      <c r="G621" s="88" t="b">
        <v>0</v>
      </c>
      <c r="H621" s="88" t="b">
        <v>0</v>
      </c>
      <c r="I621" s="88" t="b">
        <v>0</v>
      </c>
      <c r="J621" s="88" t="b">
        <v>0</v>
      </c>
      <c r="K621" s="88" t="b">
        <v>0</v>
      </c>
      <c r="L621" s="88" t="b">
        <v>0</v>
      </c>
    </row>
    <row r="622" spans="1:12" ht="15">
      <c r="A622" s="83" t="s">
        <v>2699</v>
      </c>
      <c r="B622" s="88" t="s">
        <v>258</v>
      </c>
      <c r="C622" s="88">
        <v>2</v>
      </c>
      <c r="D622" s="110">
        <v>0.00661604386074684</v>
      </c>
      <c r="E622" s="110">
        <v>1.6384892569546374</v>
      </c>
      <c r="F622" s="88" t="s">
        <v>1781</v>
      </c>
      <c r="G622" s="88" t="b">
        <v>0</v>
      </c>
      <c r="H622" s="88" t="b">
        <v>0</v>
      </c>
      <c r="I622" s="88" t="b">
        <v>0</v>
      </c>
      <c r="J622" s="88" t="b">
        <v>0</v>
      </c>
      <c r="K622" s="88" t="b">
        <v>0</v>
      </c>
      <c r="L622" s="88" t="b">
        <v>0</v>
      </c>
    </row>
    <row r="623" spans="1:12" ht="15">
      <c r="A623" s="83" t="s">
        <v>2002</v>
      </c>
      <c r="B623" s="88" t="s">
        <v>2004</v>
      </c>
      <c r="C623" s="88">
        <v>2</v>
      </c>
      <c r="D623" s="110">
        <v>0.005336098759263068</v>
      </c>
      <c r="E623" s="110">
        <v>1.1972805581256194</v>
      </c>
      <c r="F623" s="88" t="s">
        <v>1782</v>
      </c>
      <c r="G623" s="88" t="b">
        <v>0</v>
      </c>
      <c r="H623" s="88" t="b">
        <v>0</v>
      </c>
      <c r="I623" s="88" t="b">
        <v>0</v>
      </c>
      <c r="J623" s="88" t="b">
        <v>0</v>
      </c>
      <c r="K623" s="88" t="b">
        <v>0</v>
      </c>
      <c r="L623" s="88" t="b">
        <v>0</v>
      </c>
    </row>
    <row r="624" spans="1:12" ht="15">
      <c r="A624" s="83" t="s">
        <v>2004</v>
      </c>
      <c r="B624" s="88" t="s">
        <v>2005</v>
      </c>
      <c r="C624" s="88">
        <v>2</v>
      </c>
      <c r="D624" s="110">
        <v>0.005336098759263068</v>
      </c>
      <c r="E624" s="110">
        <v>1.4983105537896007</v>
      </c>
      <c r="F624" s="88" t="s">
        <v>1782</v>
      </c>
      <c r="G624" s="88" t="b">
        <v>0</v>
      </c>
      <c r="H624" s="88" t="b">
        <v>0</v>
      </c>
      <c r="I624" s="88" t="b">
        <v>0</v>
      </c>
      <c r="J624" s="88" t="b">
        <v>0</v>
      </c>
      <c r="K624" s="88" t="b">
        <v>0</v>
      </c>
      <c r="L624" s="88" t="b">
        <v>0</v>
      </c>
    </row>
    <row r="625" spans="1:12" ht="15">
      <c r="A625" s="83" t="s">
        <v>2005</v>
      </c>
      <c r="B625" s="88" t="s">
        <v>2006</v>
      </c>
      <c r="C625" s="88">
        <v>2</v>
      </c>
      <c r="D625" s="110">
        <v>0.005336098759263068</v>
      </c>
      <c r="E625" s="110">
        <v>1.4983105537896007</v>
      </c>
      <c r="F625" s="88" t="s">
        <v>1782</v>
      </c>
      <c r="G625" s="88" t="b">
        <v>0</v>
      </c>
      <c r="H625" s="88" t="b">
        <v>0</v>
      </c>
      <c r="I625" s="88" t="b">
        <v>0</v>
      </c>
      <c r="J625" s="88" t="b">
        <v>0</v>
      </c>
      <c r="K625" s="88" t="b">
        <v>0</v>
      </c>
      <c r="L625" s="88" t="b">
        <v>0</v>
      </c>
    </row>
    <row r="626" spans="1:12" ht="15">
      <c r="A626" s="83" t="s">
        <v>2006</v>
      </c>
      <c r="B626" s="88" t="s">
        <v>2003</v>
      </c>
      <c r="C626" s="88">
        <v>2</v>
      </c>
      <c r="D626" s="110">
        <v>0.005336098759263068</v>
      </c>
      <c r="E626" s="110">
        <v>1.1972805581256194</v>
      </c>
      <c r="F626" s="88" t="s">
        <v>1782</v>
      </c>
      <c r="G626" s="88" t="b">
        <v>0</v>
      </c>
      <c r="H626" s="88" t="b">
        <v>0</v>
      </c>
      <c r="I626" s="88" t="b">
        <v>0</v>
      </c>
      <c r="J626" s="88" t="b">
        <v>0</v>
      </c>
      <c r="K626" s="88" t="b">
        <v>0</v>
      </c>
      <c r="L626" s="88" t="b">
        <v>0</v>
      </c>
    </row>
    <row r="627" spans="1:12" ht="15">
      <c r="A627" s="83" t="s">
        <v>2003</v>
      </c>
      <c r="B627" s="88" t="s">
        <v>2003</v>
      </c>
      <c r="C627" s="88">
        <v>2</v>
      </c>
      <c r="D627" s="110">
        <v>0.005336098759263068</v>
      </c>
      <c r="E627" s="110">
        <v>0.8962505624616381</v>
      </c>
      <c r="F627" s="88" t="s">
        <v>1782</v>
      </c>
      <c r="G627" s="88" t="b">
        <v>0</v>
      </c>
      <c r="H627" s="88" t="b">
        <v>0</v>
      </c>
      <c r="I627" s="88" t="b">
        <v>0</v>
      </c>
      <c r="J627" s="88" t="b">
        <v>0</v>
      </c>
      <c r="K627" s="88" t="b">
        <v>0</v>
      </c>
      <c r="L627" s="88" t="b">
        <v>0</v>
      </c>
    </row>
    <row r="628" spans="1:12" ht="15">
      <c r="A628" s="83" t="s">
        <v>2003</v>
      </c>
      <c r="B628" s="88" t="s">
        <v>2002</v>
      </c>
      <c r="C628" s="88">
        <v>2</v>
      </c>
      <c r="D628" s="110">
        <v>0.005336098759263068</v>
      </c>
      <c r="E628" s="110">
        <v>1.1972805581256194</v>
      </c>
      <c r="F628" s="88" t="s">
        <v>1782</v>
      </c>
      <c r="G628" s="88" t="b">
        <v>0</v>
      </c>
      <c r="H628" s="88" t="b">
        <v>0</v>
      </c>
      <c r="I628" s="88" t="b">
        <v>0</v>
      </c>
      <c r="J628" s="88" t="b">
        <v>0</v>
      </c>
      <c r="K628" s="88" t="b">
        <v>0</v>
      </c>
      <c r="L628" s="88" t="b">
        <v>0</v>
      </c>
    </row>
    <row r="629" spans="1:12" ht="15">
      <c r="A629" s="83" t="s">
        <v>2002</v>
      </c>
      <c r="B629" s="88" t="s">
        <v>2007</v>
      </c>
      <c r="C629" s="88">
        <v>2</v>
      </c>
      <c r="D629" s="110">
        <v>0.005336098759263068</v>
      </c>
      <c r="E629" s="110">
        <v>1.1972805581256194</v>
      </c>
      <c r="F629" s="88" t="s">
        <v>1782</v>
      </c>
      <c r="G629" s="88" t="b">
        <v>0</v>
      </c>
      <c r="H629" s="88" t="b">
        <v>0</v>
      </c>
      <c r="I629" s="88" t="b">
        <v>0</v>
      </c>
      <c r="J629" s="88" t="b">
        <v>0</v>
      </c>
      <c r="K629" s="88" t="b">
        <v>0</v>
      </c>
      <c r="L629" s="88" t="b">
        <v>0</v>
      </c>
    </row>
    <row r="630" spans="1:12" ht="15">
      <c r="A630" s="83" t="s">
        <v>2007</v>
      </c>
      <c r="B630" s="88" t="s">
        <v>2008</v>
      </c>
      <c r="C630" s="88">
        <v>2</v>
      </c>
      <c r="D630" s="110">
        <v>0.005336098759263068</v>
      </c>
      <c r="E630" s="110">
        <v>1.4983105537896007</v>
      </c>
      <c r="F630" s="88" t="s">
        <v>1782</v>
      </c>
      <c r="G630" s="88" t="b">
        <v>0</v>
      </c>
      <c r="H630" s="88" t="b">
        <v>0</v>
      </c>
      <c r="I630" s="88" t="b">
        <v>0</v>
      </c>
      <c r="J630" s="88" t="b">
        <v>0</v>
      </c>
      <c r="K630" s="88" t="b">
        <v>0</v>
      </c>
      <c r="L630" s="88" t="b">
        <v>0</v>
      </c>
    </row>
    <row r="631" spans="1:12" ht="15">
      <c r="A631" s="83" t="s">
        <v>2008</v>
      </c>
      <c r="B631" s="88" t="s">
        <v>2009</v>
      </c>
      <c r="C631" s="88">
        <v>2</v>
      </c>
      <c r="D631" s="110">
        <v>0.005336098759263068</v>
      </c>
      <c r="E631" s="110">
        <v>1.4983105537896007</v>
      </c>
      <c r="F631" s="88" t="s">
        <v>1782</v>
      </c>
      <c r="G631" s="88" t="b">
        <v>0</v>
      </c>
      <c r="H631" s="88" t="b">
        <v>0</v>
      </c>
      <c r="I631" s="88" t="b">
        <v>0</v>
      </c>
      <c r="J631" s="88" t="b">
        <v>0</v>
      </c>
      <c r="K631" s="88" t="b">
        <v>0</v>
      </c>
      <c r="L631" s="88" t="b">
        <v>0</v>
      </c>
    </row>
    <row r="632" spans="1:12" ht="15">
      <c r="A632" s="83" t="s">
        <v>2009</v>
      </c>
      <c r="B632" s="88" t="s">
        <v>2543</v>
      </c>
      <c r="C632" s="88">
        <v>2</v>
      </c>
      <c r="D632" s="110">
        <v>0.005336098759263068</v>
      </c>
      <c r="E632" s="110">
        <v>1.4983105537896007</v>
      </c>
      <c r="F632" s="88" t="s">
        <v>1782</v>
      </c>
      <c r="G632" s="88" t="b">
        <v>0</v>
      </c>
      <c r="H632" s="88" t="b">
        <v>0</v>
      </c>
      <c r="I632" s="88" t="b">
        <v>0</v>
      </c>
      <c r="J632" s="88" t="b">
        <v>0</v>
      </c>
      <c r="K632" s="88" t="b">
        <v>0</v>
      </c>
      <c r="L632" s="88" t="b">
        <v>0</v>
      </c>
    </row>
    <row r="633" spans="1:12" ht="15">
      <c r="A633" s="83" t="s">
        <v>2543</v>
      </c>
      <c r="B633" s="88" t="s">
        <v>372</v>
      </c>
      <c r="C633" s="88">
        <v>2</v>
      </c>
      <c r="D633" s="110">
        <v>0.005336098759263068</v>
      </c>
      <c r="E633" s="110">
        <v>1.4983105537896007</v>
      </c>
      <c r="F633" s="88" t="s">
        <v>1782</v>
      </c>
      <c r="G633" s="88" t="b">
        <v>0</v>
      </c>
      <c r="H633" s="88" t="b">
        <v>0</v>
      </c>
      <c r="I633" s="88" t="b">
        <v>0</v>
      </c>
      <c r="J633" s="88" t="b">
        <v>0</v>
      </c>
      <c r="K633" s="88" t="b">
        <v>0</v>
      </c>
      <c r="L633" s="88" t="b">
        <v>0</v>
      </c>
    </row>
    <row r="634" spans="1:12" ht="15">
      <c r="A634" s="83" t="s">
        <v>372</v>
      </c>
      <c r="B634" s="88" t="s">
        <v>2692</v>
      </c>
      <c r="C634" s="88">
        <v>2</v>
      </c>
      <c r="D634" s="110">
        <v>0.005336098759263068</v>
      </c>
      <c r="E634" s="110">
        <v>1.4983105537896007</v>
      </c>
      <c r="F634" s="88" t="s">
        <v>1782</v>
      </c>
      <c r="G634" s="88" t="b">
        <v>0</v>
      </c>
      <c r="H634" s="88" t="b">
        <v>0</v>
      </c>
      <c r="I634" s="88" t="b">
        <v>0</v>
      </c>
      <c r="J634" s="88" t="b">
        <v>0</v>
      </c>
      <c r="K634" s="88" t="b">
        <v>0</v>
      </c>
      <c r="L634" s="88" t="b">
        <v>0</v>
      </c>
    </row>
    <row r="635" spans="1:12" ht="15">
      <c r="A635" s="83" t="s">
        <v>2692</v>
      </c>
      <c r="B635" s="88" t="s">
        <v>2495</v>
      </c>
      <c r="C635" s="88">
        <v>2</v>
      </c>
      <c r="D635" s="110">
        <v>0.005336098759263068</v>
      </c>
      <c r="E635" s="110">
        <v>1.4983105537896007</v>
      </c>
      <c r="F635" s="88" t="s">
        <v>1782</v>
      </c>
      <c r="G635" s="88" t="b">
        <v>0</v>
      </c>
      <c r="H635" s="88" t="b">
        <v>0</v>
      </c>
      <c r="I635" s="88" t="b">
        <v>0</v>
      </c>
      <c r="J635" s="88" t="b">
        <v>0</v>
      </c>
      <c r="K635" s="88" t="b">
        <v>0</v>
      </c>
      <c r="L635" s="88" t="b">
        <v>0</v>
      </c>
    </row>
    <row r="636" spans="1:12" ht="15">
      <c r="A636" s="83" t="s">
        <v>2495</v>
      </c>
      <c r="B636" s="88" t="s">
        <v>2472</v>
      </c>
      <c r="C636" s="88">
        <v>2</v>
      </c>
      <c r="D636" s="110">
        <v>0.005336098759263068</v>
      </c>
      <c r="E636" s="110">
        <v>1.4983105537896007</v>
      </c>
      <c r="F636" s="88" t="s">
        <v>1782</v>
      </c>
      <c r="G636" s="88" t="b">
        <v>0</v>
      </c>
      <c r="H636" s="88" t="b">
        <v>0</v>
      </c>
      <c r="I636" s="88" t="b">
        <v>0</v>
      </c>
      <c r="J636" s="88" t="b">
        <v>0</v>
      </c>
      <c r="K636" s="88" t="b">
        <v>0</v>
      </c>
      <c r="L636" s="88" t="b">
        <v>0</v>
      </c>
    </row>
    <row r="637" spans="1:12" ht="15">
      <c r="A637" s="83" t="s">
        <v>2472</v>
      </c>
      <c r="B637" s="88" t="s">
        <v>2693</v>
      </c>
      <c r="C637" s="88">
        <v>2</v>
      </c>
      <c r="D637" s="110">
        <v>0.005336098759263068</v>
      </c>
      <c r="E637" s="110">
        <v>1.4983105537896007</v>
      </c>
      <c r="F637" s="88" t="s">
        <v>1782</v>
      </c>
      <c r="G637" s="88" t="b">
        <v>0</v>
      </c>
      <c r="H637" s="88" t="b">
        <v>0</v>
      </c>
      <c r="I637" s="88" t="b">
        <v>0</v>
      </c>
      <c r="J637" s="88" t="b">
        <v>0</v>
      </c>
      <c r="K637" s="88" t="b">
        <v>0</v>
      </c>
      <c r="L637" s="88" t="b">
        <v>0</v>
      </c>
    </row>
    <row r="638" spans="1:12" ht="15">
      <c r="A638" s="83" t="s">
        <v>2693</v>
      </c>
      <c r="B638" s="88" t="s">
        <v>2442</v>
      </c>
      <c r="C638" s="88">
        <v>2</v>
      </c>
      <c r="D638" s="110">
        <v>0.005336098759263068</v>
      </c>
      <c r="E638" s="110">
        <v>1.4983105537896007</v>
      </c>
      <c r="F638" s="88" t="s">
        <v>1782</v>
      </c>
      <c r="G638" s="88" t="b">
        <v>0</v>
      </c>
      <c r="H638" s="88" t="b">
        <v>0</v>
      </c>
      <c r="I638" s="88" t="b">
        <v>0</v>
      </c>
      <c r="J638" s="88" t="b">
        <v>0</v>
      </c>
      <c r="K638" s="88" t="b">
        <v>0</v>
      </c>
      <c r="L638" s="88" t="b">
        <v>0</v>
      </c>
    </row>
    <row r="639" spans="1:12" ht="15">
      <c r="A639" s="83" t="s">
        <v>2442</v>
      </c>
      <c r="B639" s="88" t="s">
        <v>1964</v>
      </c>
      <c r="C639" s="88">
        <v>2</v>
      </c>
      <c r="D639" s="110">
        <v>0.005336098759263068</v>
      </c>
      <c r="E639" s="110">
        <v>1.4983105537896007</v>
      </c>
      <c r="F639" s="88" t="s">
        <v>1782</v>
      </c>
      <c r="G639" s="88" t="b">
        <v>0</v>
      </c>
      <c r="H639" s="88" t="b">
        <v>0</v>
      </c>
      <c r="I639" s="88" t="b">
        <v>0</v>
      </c>
      <c r="J639" s="88" t="b">
        <v>0</v>
      </c>
      <c r="K639" s="88" t="b">
        <v>0</v>
      </c>
      <c r="L639" s="88" t="b">
        <v>0</v>
      </c>
    </row>
    <row r="640" spans="1:12" ht="15">
      <c r="A640" s="83" t="s">
        <v>1964</v>
      </c>
      <c r="B640" s="88" t="s">
        <v>1965</v>
      </c>
      <c r="C640" s="88">
        <v>2</v>
      </c>
      <c r="D640" s="110">
        <v>0.005336098759263068</v>
      </c>
      <c r="E640" s="110">
        <v>1.4983105537896007</v>
      </c>
      <c r="F640" s="88" t="s">
        <v>1782</v>
      </c>
      <c r="G640" s="88" t="b">
        <v>0</v>
      </c>
      <c r="H640" s="88" t="b">
        <v>0</v>
      </c>
      <c r="I640" s="88" t="b">
        <v>0</v>
      </c>
      <c r="J640" s="88" t="b">
        <v>0</v>
      </c>
      <c r="K640" s="88" t="b">
        <v>0</v>
      </c>
      <c r="L640" s="88" t="b">
        <v>0</v>
      </c>
    </row>
    <row r="641" spans="1:12" ht="15">
      <c r="A641" s="83" t="s">
        <v>1965</v>
      </c>
      <c r="B641" s="88" t="s">
        <v>1944</v>
      </c>
      <c r="C641" s="88">
        <v>2</v>
      </c>
      <c r="D641" s="110">
        <v>0.005336098759263068</v>
      </c>
      <c r="E641" s="110">
        <v>1.3222192947339193</v>
      </c>
      <c r="F641" s="88" t="s">
        <v>1782</v>
      </c>
      <c r="G641" s="88" t="b">
        <v>0</v>
      </c>
      <c r="H641" s="88" t="b">
        <v>0</v>
      </c>
      <c r="I641" s="88" t="b">
        <v>0</v>
      </c>
      <c r="J641" s="88" t="b">
        <v>0</v>
      </c>
      <c r="K641" s="88" t="b">
        <v>0</v>
      </c>
      <c r="L641" s="88" t="b">
        <v>0</v>
      </c>
    </row>
    <row r="642" spans="1:12" ht="15">
      <c r="A642" s="83" t="s">
        <v>1944</v>
      </c>
      <c r="B642" s="88" t="s">
        <v>2499</v>
      </c>
      <c r="C642" s="88">
        <v>2</v>
      </c>
      <c r="D642" s="110">
        <v>0.005336098759263068</v>
      </c>
      <c r="E642" s="110">
        <v>1.3222192947339193</v>
      </c>
      <c r="F642" s="88" t="s">
        <v>1782</v>
      </c>
      <c r="G642" s="88" t="b">
        <v>0</v>
      </c>
      <c r="H642" s="88" t="b">
        <v>0</v>
      </c>
      <c r="I642" s="88" t="b">
        <v>0</v>
      </c>
      <c r="J642" s="88" t="b">
        <v>0</v>
      </c>
      <c r="K642" s="88" t="b">
        <v>0</v>
      </c>
      <c r="L642" s="88" t="b">
        <v>0</v>
      </c>
    </row>
    <row r="643" spans="1:12" ht="15">
      <c r="A643" s="83" t="s">
        <v>2499</v>
      </c>
      <c r="B643" s="88" t="s">
        <v>250</v>
      </c>
      <c r="C643" s="88">
        <v>2</v>
      </c>
      <c r="D643" s="110">
        <v>0.005336098759263068</v>
      </c>
      <c r="E643" s="110">
        <v>1.4983105537896007</v>
      </c>
      <c r="F643" s="88" t="s">
        <v>1782</v>
      </c>
      <c r="G643" s="88" t="b">
        <v>0</v>
      </c>
      <c r="H643" s="88" t="b">
        <v>0</v>
      </c>
      <c r="I643" s="88" t="b">
        <v>0</v>
      </c>
      <c r="J643" s="88" t="b">
        <v>0</v>
      </c>
      <c r="K643" s="88" t="b">
        <v>0</v>
      </c>
      <c r="L643" s="88" t="b">
        <v>0</v>
      </c>
    </row>
    <row r="644" spans="1:12" ht="15">
      <c r="A644" s="83" t="s">
        <v>250</v>
      </c>
      <c r="B644" s="88" t="s">
        <v>373</v>
      </c>
      <c r="C644" s="88">
        <v>2</v>
      </c>
      <c r="D644" s="110">
        <v>0.005336098759263068</v>
      </c>
      <c r="E644" s="110">
        <v>1.3222192947339193</v>
      </c>
      <c r="F644" s="88" t="s">
        <v>1782</v>
      </c>
      <c r="G644" s="88" t="b">
        <v>0</v>
      </c>
      <c r="H644" s="88" t="b">
        <v>0</v>
      </c>
      <c r="I644" s="88" t="b">
        <v>0</v>
      </c>
      <c r="J644" s="88" t="b">
        <v>0</v>
      </c>
      <c r="K644" s="88" t="b">
        <v>0</v>
      </c>
      <c r="L644" s="88" t="b">
        <v>0</v>
      </c>
    </row>
    <row r="645" spans="1:12" ht="15">
      <c r="A645" s="83" t="s">
        <v>1971</v>
      </c>
      <c r="B645" s="88" t="s">
        <v>1991</v>
      </c>
      <c r="C645" s="88">
        <v>6</v>
      </c>
      <c r="D645" s="110">
        <v>0</v>
      </c>
      <c r="E645" s="110">
        <v>1.3617278360175928</v>
      </c>
      <c r="F645" s="88" t="s">
        <v>1783</v>
      </c>
      <c r="G645" s="88" t="b">
        <v>0</v>
      </c>
      <c r="H645" s="88" t="b">
        <v>0</v>
      </c>
      <c r="I645" s="88" t="b">
        <v>0</v>
      </c>
      <c r="J645" s="88" t="b">
        <v>0</v>
      </c>
      <c r="K645" s="88" t="b">
        <v>0</v>
      </c>
      <c r="L645" s="88" t="b">
        <v>0</v>
      </c>
    </row>
    <row r="646" spans="1:12" ht="15">
      <c r="A646" s="83" t="s">
        <v>1991</v>
      </c>
      <c r="B646" s="88" t="s">
        <v>2011</v>
      </c>
      <c r="C646" s="88">
        <v>6</v>
      </c>
      <c r="D646" s="110">
        <v>0</v>
      </c>
      <c r="E646" s="110">
        <v>1.3617278360175928</v>
      </c>
      <c r="F646" s="88" t="s">
        <v>1783</v>
      </c>
      <c r="G646" s="88" t="b">
        <v>0</v>
      </c>
      <c r="H646" s="88" t="b">
        <v>0</v>
      </c>
      <c r="I646" s="88" t="b">
        <v>0</v>
      </c>
      <c r="J646" s="88" t="b">
        <v>0</v>
      </c>
      <c r="K646" s="88" t="b">
        <v>0</v>
      </c>
      <c r="L646" s="88" t="b">
        <v>0</v>
      </c>
    </row>
    <row r="647" spans="1:12" ht="15">
      <c r="A647" s="83" t="s">
        <v>2011</v>
      </c>
      <c r="B647" s="88" t="s">
        <v>2012</v>
      </c>
      <c r="C647" s="88">
        <v>6</v>
      </c>
      <c r="D647" s="110">
        <v>0</v>
      </c>
      <c r="E647" s="110">
        <v>1.3617278360175928</v>
      </c>
      <c r="F647" s="88" t="s">
        <v>1783</v>
      </c>
      <c r="G647" s="88" t="b">
        <v>0</v>
      </c>
      <c r="H647" s="88" t="b">
        <v>0</v>
      </c>
      <c r="I647" s="88" t="b">
        <v>0</v>
      </c>
      <c r="J647" s="88" t="b">
        <v>0</v>
      </c>
      <c r="K647" s="88" t="b">
        <v>0</v>
      </c>
      <c r="L647" s="88" t="b">
        <v>0</v>
      </c>
    </row>
    <row r="648" spans="1:12" ht="15">
      <c r="A648" s="83" t="s">
        <v>2012</v>
      </c>
      <c r="B648" s="88" t="s">
        <v>2013</v>
      </c>
      <c r="C648" s="88">
        <v>6</v>
      </c>
      <c r="D648" s="110">
        <v>0</v>
      </c>
      <c r="E648" s="110">
        <v>1.3617278360175928</v>
      </c>
      <c r="F648" s="88" t="s">
        <v>1783</v>
      </c>
      <c r="G648" s="88" t="b">
        <v>0</v>
      </c>
      <c r="H648" s="88" t="b">
        <v>0</v>
      </c>
      <c r="I648" s="88" t="b">
        <v>0</v>
      </c>
      <c r="J648" s="88" t="b">
        <v>0</v>
      </c>
      <c r="K648" s="88" t="b">
        <v>0</v>
      </c>
      <c r="L648" s="88" t="b">
        <v>0</v>
      </c>
    </row>
    <row r="649" spans="1:12" ht="15">
      <c r="A649" s="83" t="s">
        <v>2013</v>
      </c>
      <c r="B649" s="88" t="s">
        <v>2014</v>
      </c>
      <c r="C649" s="88">
        <v>6</v>
      </c>
      <c r="D649" s="110">
        <v>0</v>
      </c>
      <c r="E649" s="110">
        <v>1.3617278360175928</v>
      </c>
      <c r="F649" s="88" t="s">
        <v>1783</v>
      </c>
      <c r="G649" s="88" t="b">
        <v>0</v>
      </c>
      <c r="H649" s="88" t="b">
        <v>0</v>
      </c>
      <c r="I649" s="88" t="b">
        <v>0</v>
      </c>
      <c r="J649" s="88" t="b">
        <v>0</v>
      </c>
      <c r="K649" s="88" t="b">
        <v>0</v>
      </c>
      <c r="L649" s="88" t="b">
        <v>0</v>
      </c>
    </row>
    <row r="650" spans="1:12" ht="15">
      <c r="A650" s="83" t="s">
        <v>2014</v>
      </c>
      <c r="B650" s="88" t="s">
        <v>1967</v>
      </c>
      <c r="C650" s="88">
        <v>6</v>
      </c>
      <c r="D650" s="110">
        <v>0</v>
      </c>
      <c r="E650" s="110">
        <v>1.3617278360175928</v>
      </c>
      <c r="F650" s="88" t="s">
        <v>1783</v>
      </c>
      <c r="G650" s="88" t="b">
        <v>0</v>
      </c>
      <c r="H650" s="88" t="b">
        <v>0</v>
      </c>
      <c r="I650" s="88" t="b">
        <v>0</v>
      </c>
      <c r="J650" s="88" t="b">
        <v>0</v>
      </c>
      <c r="K650" s="88" t="b">
        <v>0</v>
      </c>
      <c r="L650" s="88" t="b">
        <v>0</v>
      </c>
    </row>
    <row r="651" spans="1:12" ht="15">
      <c r="A651" s="83" t="s">
        <v>1967</v>
      </c>
      <c r="B651" s="88" t="s">
        <v>1944</v>
      </c>
      <c r="C651" s="88">
        <v>6</v>
      </c>
      <c r="D651" s="110">
        <v>0</v>
      </c>
      <c r="E651" s="110">
        <v>1.3617278360175928</v>
      </c>
      <c r="F651" s="88" t="s">
        <v>1783</v>
      </c>
      <c r="G651" s="88" t="b">
        <v>0</v>
      </c>
      <c r="H651" s="88" t="b">
        <v>0</v>
      </c>
      <c r="I651" s="88" t="b">
        <v>0</v>
      </c>
      <c r="J651" s="88" t="b">
        <v>0</v>
      </c>
      <c r="K651" s="88" t="b">
        <v>0</v>
      </c>
      <c r="L651" s="88" t="b">
        <v>0</v>
      </c>
    </row>
    <row r="652" spans="1:12" ht="15">
      <c r="A652" s="83" t="s">
        <v>1944</v>
      </c>
      <c r="B652" s="88" t="s">
        <v>2015</v>
      </c>
      <c r="C652" s="88">
        <v>6</v>
      </c>
      <c r="D652" s="110">
        <v>0</v>
      </c>
      <c r="E652" s="110">
        <v>1.3617278360175928</v>
      </c>
      <c r="F652" s="88" t="s">
        <v>1783</v>
      </c>
      <c r="G652" s="88" t="b">
        <v>0</v>
      </c>
      <c r="H652" s="88" t="b">
        <v>0</v>
      </c>
      <c r="I652" s="88" t="b">
        <v>0</v>
      </c>
      <c r="J652" s="88" t="b">
        <v>0</v>
      </c>
      <c r="K652" s="88" t="b">
        <v>0</v>
      </c>
      <c r="L652" s="88" t="b">
        <v>0</v>
      </c>
    </row>
    <row r="653" spans="1:12" ht="15">
      <c r="A653" s="83" t="s">
        <v>2015</v>
      </c>
      <c r="B653" s="88" t="s">
        <v>2446</v>
      </c>
      <c r="C653" s="88">
        <v>6</v>
      </c>
      <c r="D653" s="110">
        <v>0</v>
      </c>
      <c r="E653" s="110">
        <v>1.3617278360175928</v>
      </c>
      <c r="F653" s="88" t="s">
        <v>1783</v>
      </c>
      <c r="G653" s="88" t="b">
        <v>0</v>
      </c>
      <c r="H653" s="88" t="b">
        <v>0</v>
      </c>
      <c r="I653" s="88" t="b">
        <v>0</v>
      </c>
      <c r="J653" s="88" t="b">
        <v>0</v>
      </c>
      <c r="K653" s="88" t="b">
        <v>0</v>
      </c>
      <c r="L653" s="88" t="b">
        <v>0</v>
      </c>
    </row>
    <row r="654" spans="1:12" ht="15">
      <c r="A654" s="83" t="s">
        <v>2446</v>
      </c>
      <c r="B654" s="88" t="s">
        <v>1972</v>
      </c>
      <c r="C654" s="88">
        <v>6</v>
      </c>
      <c r="D654" s="110">
        <v>0</v>
      </c>
      <c r="E654" s="110">
        <v>1.3617278360175928</v>
      </c>
      <c r="F654" s="88" t="s">
        <v>1783</v>
      </c>
      <c r="G654" s="88" t="b">
        <v>0</v>
      </c>
      <c r="H654" s="88" t="b">
        <v>0</v>
      </c>
      <c r="I654" s="88" t="b">
        <v>0</v>
      </c>
      <c r="J654" s="88" t="b">
        <v>0</v>
      </c>
      <c r="K654" s="88" t="b">
        <v>0</v>
      </c>
      <c r="L654" s="88" t="b">
        <v>0</v>
      </c>
    </row>
    <row r="655" spans="1:12" ht="15">
      <c r="A655" s="83" t="s">
        <v>1972</v>
      </c>
      <c r="B655" s="88" t="s">
        <v>1964</v>
      </c>
      <c r="C655" s="88">
        <v>6</v>
      </c>
      <c r="D655" s="110">
        <v>0</v>
      </c>
      <c r="E655" s="110">
        <v>1.0606978403536116</v>
      </c>
      <c r="F655" s="88" t="s">
        <v>1783</v>
      </c>
      <c r="G655" s="88" t="b">
        <v>0</v>
      </c>
      <c r="H655" s="88" t="b">
        <v>0</v>
      </c>
      <c r="I655" s="88" t="b">
        <v>0</v>
      </c>
      <c r="J655" s="88" t="b">
        <v>0</v>
      </c>
      <c r="K655" s="88" t="b">
        <v>0</v>
      </c>
      <c r="L655" s="88" t="b">
        <v>0</v>
      </c>
    </row>
    <row r="656" spans="1:12" ht="15">
      <c r="A656" s="83" t="s">
        <v>1964</v>
      </c>
      <c r="B656" s="88" t="s">
        <v>1964</v>
      </c>
      <c r="C656" s="88">
        <v>6</v>
      </c>
      <c r="D656" s="110">
        <v>0</v>
      </c>
      <c r="E656" s="110">
        <v>0.7596678446896304</v>
      </c>
      <c r="F656" s="88" t="s">
        <v>1783</v>
      </c>
      <c r="G656" s="88" t="b">
        <v>0</v>
      </c>
      <c r="H656" s="88" t="b">
        <v>0</v>
      </c>
      <c r="I656" s="88" t="b">
        <v>0</v>
      </c>
      <c r="J656" s="88" t="b">
        <v>0</v>
      </c>
      <c r="K656" s="88" t="b">
        <v>0</v>
      </c>
      <c r="L656" s="88" t="b">
        <v>0</v>
      </c>
    </row>
    <row r="657" spans="1:12" ht="15">
      <c r="A657" s="83" t="s">
        <v>1964</v>
      </c>
      <c r="B657" s="88" t="s">
        <v>2447</v>
      </c>
      <c r="C657" s="88">
        <v>6</v>
      </c>
      <c r="D657" s="110">
        <v>0</v>
      </c>
      <c r="E657" s="110">
        <v>1.0606978403536116</v>
      </c>
      <c r="F657" s="88" t="s">
        <v>1783</v>
      </c>
      <c r="G657" s="88" t="b">
        <v>0</v>
      </c>
      <c r="H657" s="88" t="b">
        <v>0</v>
      </c>
      <c r="I657" s="88" t="b">
        <v>0</v>
      </c>
      <c r="J657" s="88" t="b">
        <v>0</v>
      </c>
      <c r="K657" s="88" t="b">
        <v>0</v>
      </c>
      <c r="L657" s="88" t="b">
        <v>0</v>
      </c>
    </row>
    <row r="658" spans="1:12" ht="15">
      <c r="A658" s="83" t="s">
        <v>2447</v>
      </c>
      <c r="B658" s="88" t="s">
        <v>1988</v>
      </c>
      <c r="C658" s="88">
        <v>6</v>
      </c>
      <c r="D658" s="110">
        <v>0</v>
      </c>
      <c r="E658" s="110">
        <v>1.3617278360175928</v>
      </c>
      <c r="F658" s="88" t="s">
        <v>1783</v>
      </c>
      <c r="G658" s="88" t="b">
        <v>0</v>
      </c>
      <c r="H658" s="88" t="b">
        <v>0</v>
      </c>
      <c r="I658" s="88" t="b">
        <v>0</v>
      </c>
      <c r="J658" s="88" t="b">
        <v>0</v>
      </c>
      <c r="K658" s="88" t="b">
        <v>0</v>
      </c>
      <c r="L658" s="88" t="b">
        <v>0</v>
      </c>
    </row>
    <row r="659" spans="1:12" ht="15">
      <c r="A659" s="83" t="s">
        <v>1988</v>
      </c>
      <c r="B659" s="88" t="s">
        <v>1965</v>
      </c>
      <c r="C659" s="88">
        <v>6</v>
      </c>
      <c r="D659" s="110">
        <v>0</v>
      </c>
      <c r="E659" s="110">
        <v>1.3617278360175928</v>
      </c>
      <c r="F659" s="88" t="s">
        <v>1783</v>
      </c>
      <c r="G659" s="88" t="b">
        <v>0</v>
      </c>
      <c r="H659" s="88" t="b">
        <v>0</v>
      </c>
      <c r="I659" s="88" t="b">
        <v>0</v>
      </c>
      <c r="J659" s="88" t="b">
        <v>0</v>
      </c>
      <c r="K659" s="88" t="b">
        <v>0</v>
      </c>
      <c r="L659" s="88" t="b">
        <v>0</v>
      </c>
    </row>
    <row r="660" spans="1:12" ht="15">
      <c r="A660" s="83" t="s">
        <v>1965</v>
      </c>
      <c r="B660" s="88" t="s">
        <v>2448</v>
      </c>
      <c r="C660" s="88">
        <v>6</v>
      </c>
      <c r="D660" s="110">
        <v>0</v>
      </c>
      <c r="E660" s="110">
        <v>1.3617278360175928</v>
      </c>
      <c r="F660" s="88" t="s">
        <v>1783</v>
      </c>
      <c r="G660" s="88" t="b">
        <v>0</v>
      </c>
      <c r="H660" s="88" t="b">
        <v>0</v>
      </c>
      <c r="I660" s="88" t="b">
        <v>0</v>
      </c>
      <c r="J660" s="88" t="b">
        <v>0</v>
      </c>
      <c r="K660" s="88" t="b">
        <v>0</v>
      </c>
      <c r="L660" s="88" t="b">
        <v>0</v>
      </c>
    </row>
    <row r="661" spans="1:12" ht="15">
      <c r="A661" s="83" t="s">
        <v>2448</v>
      </c>
      <c r="B661" s="88" t="s">
        <v>2449</v>
      </c>
      <c r="C661" s="88">
        <v>6</v>
      </c>
      <c r="D661" s="110">
        <v>0</v>
      </c>
      <c r="E661" s="110">
        <v>1.3617278360175928</v>
      </c>
      <c r="F661" s="88" t="s">
        <v>1783</v>
      </c>
      <c r="G661" s="88" t="b">
        <v>0</v>
      </c>
      <c r="H661" s="88" t="b">
        <v>0</v>
      </c>
      <c r="I661" s="88" t="b">
        <v>0</v>
      </c>
      <c r="J661" s="88" t="b">
        <v>0</v>
      </c>
      <c r="K661" s="88" t="b">
        <v>0</v>
      </c>
      <c r="L661" s="88" t="b">
        <v>0</v>
      </c>
    </row>
    <row r="662" spans="1:12" ht="15">
      <c r="A662" s="83" t="s">
        <v>2449</v>
      </c>
      <c r="B662" s="88" t="s">
        <v>2450</v>
      </c>
      <c r="C662" s="88">
        <v>6</v>
      </c>
      <c r="D662" s="110">
        <v>0</v>
      </c>
      <c r="E662" s="110">
        <v>1.3617278360175928</v>
      </c>
      <c r="F662" s="88" t="s">
        <v>1783</v>
      </c>
      <c r="G662" s="88" t="b">
        <v>0</v>
      </c>
      <c r="H662" s="88" t="b">
        <v>0</v>
      </c>
      <c r="I662" s="88" t="b">
        <v>0</v>
      </c>
      <c r="J662" s="88" t="b">
        <v>0</v>
      </c>
      <c r="K662" s="88" t="b">
        <v>0</v>
      </c>
      <c r="L662" s="88" t="b">
        <v>0</v>
      </c>
    </row>
    <row r="663" spans="1:12" ht="15">
      <c r="A663" s="83" t="s">
        <v>2450</v>
      </c>
      <c r="B663" s="88" t="s">
        <v>2451</v>
      </c>
      <c r="C663" s="88">
        <v>6</v>
      </c>
      <c r="D663" s="110">
        <v>0</v>
      </c>
      <c r="E663" s="110">
        <v>1.3617278360175928</v>
      </c>
      <c r="F663" s="88" t="s">
        <v>1783</v>
      </c>
      <c r="G663" s="88" t="b">
        <v>0</v>
      </c>
      <c r="H663" s="88" t="b">
        <v>0</v>
      </c>
      <c r="I663" s="88" t="b">
        <v>0</v>
      </c>
      <c r="J663" s="88" t="b">
        <v>0</v>
      </c>
      <c r="K663" s="88" t="b">
        <v>0</v>
      </c>
      <c r="L663" s="88" t="b">
        <v>0</v>
      </c>
    </row>
    <row r="664" spans="1:12" ht="15">
      <c r="A664" s="83" t="s">
        <v>2451</v>
      </c>
      <c r="B664" s="88" t="s">
        <v>2452</v>
      </c>
      <c r="C664" s="88">
        <v>6</v>
      </c>
      <c r="D664" s="110">
        <v>0</v>
      </c>
      <c r="E664" s="110">
        <v>1.3617278360175928</v>
      </c>
      <c r="F664" s="88" t="s">
        <v>1783</v>
      </c>
      <c r="G664" s="88" t="b">
        <v>0</v>
      </c>
      <c r="H664" s="88" t="b">
        <v>0</v>
      </c>
      <c r="I664" s="88" t="b">
        <v>0</v>
      </c>
      <c r="J664" s="88" t="b">
        <v>0</v>
      </c>
      <c r="K664" s="88" t="b">
        <v>0</v>
      </c>
      <c r="L664" s="88" t="b">
        <v>0</v>
      </c>
    </row>
    <row r="665" spans="1:12" ht="15">
      <c r="A665" s="83" t="s">
        <v>2452</v>
      </c>
      <c r="B665" s="88" t="s">
        <v>2453</v>
      </c>
      <c r="C665" s="88">
        <v>6</v>
      </c>
      <c r="D665" s="110">
        <v>0</v>
      </c>
      <c r="E665" s="110">
        <v>1.3617278360175928</v>
      </c>
      <c r="F665" s="88" t="s">
        <v>1783</v>
      </c>
      <c r="G665" s="88" t="b">
        <v>0</v>
      </c>
      <c r="H665" s="88" t="b">
        <v>0</v>
      </c>
      <c r="I665" s="88" t="b">
        <v>0</v>
      </c>
      <c r="J665" s="88" t="b">
        <v>0</v>
      </c>
      <c r="K665" s="88" t="b">
        <v>0</v>
      </c>
      <c r="L665" s="88" t="b">
        <v>0</v>
      </c>
    </row>
    <row r="666" spans="1:12" ht="15">
      <c r="A666" s="83" t="s">
        <v>2453</v>
      </c>
      <c r="B666" s="88" t="s">
        <v>2454</v>
      </c>
      <c r="C666" s="88">
        <v>6</v>
      </c>
      <c r="D666" s="110">
        <v>0</v>
      </c>
      <c r="E666" s="110">
        <v>1.3617278360175928</v>
      </c>
      <c r="F666" s="88" t="s">
        <v>1783</v>
      </c>
      <c r="G666" s="88" t="b">
        <v>0</v>
      </c>
      <c r="H666" s="88" t="b">
        <v>0</v>
      </c>
      <c r="I666" s="88" t="b">
        <v>0</v>
      </c>
      <c r="J666" s="88" t="b">
        <v>0</v>
      </c>
      <c r="K666" s="88" t="b">
        <v>0</v>
      </c>
      <c r="L666" s="88" t="b">
        <v>0</v>
      </c>
    </row>
    <row r="667" spans="1:12" ht="15">
      <c r="A667" s="83" t="s">
        <v>2454</v>
      </c>
      <c r="B667" s="88" t="s">
        <v>2455</v>
      </c>
      <c r="C667" s="88">
        <v>6</v>
      </c>
      <c r="D667" s="110">
        <v>0</v>
      </c>
      <c r="E667" s="110">
        <v>1.3617278360175928</v>
      </c>
      <c r="F667" s="88" t="s">
        <v>1783</v>
      </c>
      <c r="G667" s="88" t="b">
        <v>0</v>
      </c>
      <c r="H667" s="88" t="b">
        <v>0</v>
      </c>
      <c r="I667" s="88" t="b">
        <v>0</v>
      </c>
      <c r="J667" s="88" t="b">
        <v>0</v>
      </c>
      <c r="K667" s="88" t="b">
        <v>0</v>
      </c>
      <c r="L667" s="88" t="b">
        <v>0</v>
      </c>
    </row>
    <row r="668" spans="1:12" ht="15">
      <c r="A668" s="83" t="s">
        <v>1964</v>
      </c>
      <c r="B668" s="88" t="s">
        <v>1965</v>
      </c>
      <c r="C668" s="88">
        <v>3</v>
      </c>
      <c r="D668" s="110">
        <v>0</v>
      </c>
      <c r="E668" s="110">
        <v>1.0791812460476249</v>
      </c>
      <c r="F668" s="88" t="s">
        <v>1784</v>
      </c>
      <c r="G668" s="88" t="b">
        <v>0</v>
      </c>
      <c r="H668" s="88" t="b">
        <v>0</v>
      </c>
      <c r="I668" s="88" t="b">
        <v>0</v>
      </c>
      <c r="J668" s="88" t="b">
        <v>0</v>
      </c>
      <c r="K668" s="88" t="b">
        <v>0</v>
      </c>
      <c r="L668" s="88" t="b">
        <v>0</v>
      </c>
    </row>
    <row r="669" spans="1:12" ht="15">
      <c r="A669" s="83" t="s">
        <v>1965</v>
      </c>
      <c r="B669" s="88" t="s">
        <v>1944</v>
      </c>
      <c r="C669" s="88">
        <v>3</v>
      </c>
      <c r="D669" s="110">
        <v>0</v>
      </c>
      <c r="E669" s="110">
        <v>1.0791812460476249</v>
      </c>
      <c r="F669" s="88" t="s">
        <v>1784</v>
      </c>
      <c r="G669" s="88" t="b">
        <v>0</v>
      </c>
      <c r="H669" s="88" t="b">
        <v>0</v>
      </c>
      <c r="I669" s="88" t="b">
        <v>0</v>
      </c>
      <c r="J669" s="88" t="b">
        <v>0</v>
      </c>
      <c r="K669" s="88" t="b">
        <v>0</v>
      </c>
      <c r="L669" s="88" t="b">
        <v>0</v>
      </c>
    </row>
    <row r="670" spans="1:12" ht="15">
      <c r="A670" s="83" t="s">
        <v>2019</v>
      </c>
      <c r="B670" s="88" t="s">
        <v>2020</v>
      </c>
      <c r="C670" s="88">
        <v>2</v>
      </c>
      <c r="D670" s="110">
        <v>0.009030320977214422</v>
      </c>
      <c r="E670" s="110">
        <v>1.255272505103306</v>
      </c>
      <c r="F670" s="88" t="s">
        <v>1784</v>
      </c>
      <c r="G670" s="88" t="b">
        <v>0</v>
      </c>
      <c r="H670" s="88" t="b">
        <v>0</v>
      </c>
      <c r="I670" s="88" t="b">
        <v>0</v>
      </c>
      <c r="J670" s="88" t="b">
        <v>0</v>
      </c>
      <c r="K670" s="88" t="b">
        <v>0</v>
      </c>
      <c r="L670" s="88" t="b">
        <v>0</v>
      </c>
    </row>
    <row r="671" spans="1:12" ht="15">
      <c r="A671" s="83" t="s">
        <v>2020</v>
      </c>
      <c r="B671" s="88" t="s">
        <v>2021</v>
      </c>
      <c r="C671" s="88">
        <v>2</v>
      </c>
      <c r="D671" s="110">
        <v>0.009030320977214422</v>
      </c>
      <c r="E671" s="110">
        <v>1.255272505103306</v>
      </c>
      <c r="F671" s="88" t="s">
        <v>1784</v>
      </c>
      <c r="G671" s="88" t="b">
        <v>0</v>
      </c>
      <c r="H671" s="88" t="b">
        <v>0</v>
      </c>
      <c r="I671" s="88" t="b">
        <v>0</v>
      </c>
      <c r="J671" s="88" t="b">
        <v>0</v>
      </c>
      <c r="K671" s="88" t="b">
        <v>0</v>
      </c>
      <c r="L671" s="88" t="b">
        <v>0</v>
      </c>
    </row>
    <row r="672" spans="1:12" ht="15">
      <c r="A672" s="83" t="s">
        <v>2021</v>
      </c>
      <c r="B672" s="88" t="s">
        <v>2017</v>
      </c>
      <c r="C672" s="88">
        <v>2</v>
      </c>
      <c r="D672" s="110">
        <v>0.009030320977214422</v>
      </c>
      <c r="E672" s="110">
        <v>1.0791812460476249</v>
      </c>
      <c r="F672" s="88" t="s">
        <v>1784</v>
      </c>
      <c r="G672" s="88" t="b">
        <v>0</v>
      </c>
      <c r="H672" s="88" t="b">
        <v>0</v>
      </c>
      <c r="I672" s="88" t="b">
        <v>0</v>
      </c>
      <c r="J672" s="88" t="b">
        <v>0</v>
      </c>
      <c r="K672" s="88" t="b">
        <v>0</v>
      </c>
      <c r="L672" s="88" t="b">
        <v>0</v>
      </c>
    </row>
    <row r="673" spans="1:12" ht="15">
      <c r="A673" s="83" t="s">
        <v>2017</v>
      </c>
      <c r="B673" s="88" t="s">
        <v>2022</v>
      </c>
      <c r="C673" s="88">
        <v>2</v>
      </c>
      <c r="D673" s="110">
        <v>0.009030320977214422</v>
      </c>
      <c r="E673" s="110">
        <v>1.0791812460476249</v>
      </c>
      <c r="F673" s="88" t="s">
        <v>1784</v>
      </c>
      <c r="G673" s="88" t="b">
        <v>0</v>
      </c>
      <c r="H673" s="88" t="b">
        <v>0</v>
      </c>
      <c r="I673" s="88" t="b">
        <v>0</v>
      </c>
      <c r="J673" s="88" t="b">
        <v>0</v>
      </c>
      <c r="K673" s="88" t="b">
        <v>0</v>
      </c>
      <c r="L673" s="88" t="b">
        <v>0</v>
      </c>
    </row>
    <row r="674" spans="1:12" ht="15">
      <c r="A674" s="83" t="s">
        <v>2022</v>
      </c>
      <c r="B674" s="88" t="s">
        <v>2023</v>
      </c>
      <c r="C674" s="88">
        <v>2</v>
      </c>
      <c r="D674" s="110">
        <v>0.009030320977214422</v>
      </c>
      <c r="E674" s="110">
        <v>1.255272505103306</v>
      </c>
      <c r="F674" s="88" t="s">
        <v>1784</v>
      </c>
      <c r="G674" s="88" t="b">
        <v>0</v>
      </c>
      <c r="H674" s="88" t="b">
        <v>0</v>
      </c>
      <c r="I674" s="88" t="b">
        <v>0</v>
      </c>
      <c r="J674" s="88" t="b">
        <v>0</v>
      </c>
      <c r="K674" s="88" t="b">
        <v>0</v>
      </c>
      <c r="L674" s="88" t="b">
        <v>0</v>
      </c>
    </row>
    <row r="675" spans="1:12" ht="15">
      <c r="A675" s="83" t="s">
        <v>2023</v>
      </c>
      <c r="B675" s="88" t="s">
        <v>2647</v>
      </c>
      <c r="C675" s="88">
        <v>2</v>
      </c>
      <c r="D675" s="110">
        <v>0.009030320977214422</v>
      </c>
      <c r="E675" s="110">
        <v>1.255272505103306</v>
      </c>
      <c r="F675" s="88" t="s">
        <v>1784</v>
      </c>
      <c r="G675" s="88" t="b">
        <v>0</v>
      </c>
      <c r="H675" s="88" t="b">
        <v>0</v>
      </c>
      <c r="I675" s="88" t="b">
        <v>0</v>
      </c>
      <c r="J675" s="88" t="b">
        <v>0</v>
      </c>
      <c r="K675" s="88" t="b">
        <v>0</v>
      </c>
      <c r="L675" s="88" t="b">
        <v>0</v>
      </c>
    </row>
    <row r="676" spans="1:12" ht="15">
      <c r="A676" s="83" t="s">
        <v>2647</v>
      </c>
      <c r="B676" s="88" t="s">
        <v>2018</v>
      </c>
      <c r="C676" s="88">
        <v>2</v>
      </c>
      <c r="D676" s="110">
        <v>0.009030320977214422</v>
      </c>
      <c r="E676" s="110">
        <v>1.0791812460476249</v>
      </c>
      <c r="F676" s="88" t="s">
        <v>1784</v>
      </c>
      <c r="G676" s="88" t="b">
        <v>0</v>
      </c>
      <c r="H676" s="88" t="b">
        <v>0</v>
      </c>
      <c r="I676" s="88" t="b">
        <v>0</v>
      </c>
      <c r="J676" s="88" t="b">
        <v>0</v>
      </c>
      <c r="K676" s="88" t="b">
        <v>0</v>
      </c>
      <c r="L676" s="88" t="b">
        <v>0</v>
      </c>
    </row>
    <row r="677" spans="1:12" ht="15">
      <c r="A677" s="83" t="s">
        <v>2018</v>
      </c>
      <c r="B677" s="88" t="s">
        <v>2648</v>
      </c>
      <c r="C677" s="88">
        <v>2</v>
      </c>
      <c r="D677" s="110">
        <v>0.009030320977214422</v>
      </c>
      <c r="E677" s="110">
        <v>1.0791812460476249</v>
      </c>
      <c r="F677" s="88" t="s">
        <v>1784</v>
      </c>
      <c r="G677" s="88" t="b">
        <v>0</v>
      </c>
      <c r="H677" s="88" t="b">
        <v>0</v>
      </c>
      <c r="I677" s="88" t="b">
        <v>0</v>
      </c>
      <c r="J677" s="88" t="b">
        <v>0</v>
      </c>
      <c r="K677" s="88" t="b">
        <v>0</v>
      </c>
      <c r="L677" s="88" t="b">
        <v>0</v>
      </c>
    </row>
    <row r="678" spans="1:12" ht="15">
      <c r="A678" s="83" t="s">
        <v>2648</v>
      </c>
      <c r="B678" s="88" t="s">
        <v>1964</v>
      </c>
      <c r="C678" s="88">
        <v>2</v>
      </c>
      <c r="D678" s="110">
        <v>0.009030320977214422</v>
      </c>
      <c r="E678" s="110">
        <v>1.0791812460476249</v>
      </c>
      <c r="F678" s="88" t="s">
        <v>1784</v>
      </c>
      <c r="G678" s="88" t="b">
        <v>0</v>
      </c>
      <c r="H678" s="88" t="b">
        <v>0</v>
      </c>
      <c r="I678" s="88" t="b">
        <v>0</v>
      </c>
      <c r="J678" s="88" t="b">
        <v>0</v>
      </c>
      <c r="K678" s="88" t="b">
        <v>0</v>
      </c>
      <c r="L678" s="88" t="b">
        <v>0</v>
      </c>
    </row>
    <row r="679" spans="1:12" ht="15">
      <c r="A679" s="83" t="s">
        <v>1944</v>
      </c>
      <c r="B679" s="88" t="s">
        <v>389</v>
      </c>
      <c r="C679" s="88">
        <v>2</v>
      </c>
      <c r="D679" s="110">
        <v>0.009030320977214422</v>
      </c>
      <c r="E679" s="110">
        <v>1.0791812460476249</v>
      </c>
      <c r="F679" s="88" t="s">
        <v>1784</v>
      </c>
      <c r="G679" s="88" t="b">
        <v>0</v>
      </c>
      <c r="H679" s="88" t="b">
        <v>0</v>
      </c>
      <c r="I679" s="88" t="b">
        <v>0</v>
      </c>
      <c r="J679" s="88" t="b">
        <v>0</v>
      </c>
      <c r="K679" s="88" t="b">
        <v>0</v>
      </c>
      <c r="L679" s="88" t="b">
        <v>0</v>
      </c>
    </row>
    <row r="680" spans="1:12" ht="15">
      <c r="A680" s="83" t="s">
        <v>1964</v>
      </c>
      <c r="B680" s="88" t="s">
        <v>1965</v>
      </c>
      <c r="C680" s="88">
        <v>6</v>
      </c>
      <c r="D680" s="110">
        <v>0</v>
      </c>
      <c r="E680" s="110">
        <v>1.3256524705723132</v>
      </c>
      <c r="F680" s="88" t="s">
        <v>1786</v>
      </c>
      <c r="G680" s="88" t="b">
        <v>0</v>
      </c>
      <c r="H680" s="88" t="b">
        <v>0</v>
      </c>
      <c r="I680" s="88" t="b">
        <v>0</v>
      </c>
      <c r="J680" s="88" t="b">
        <v>0</v>
      </c>
      <c r="K680" s="88" t="b">
        <v>0</v>
      </c>
      <c r="L680" s="88" t="b">
        <v>0</v>
      </c>
    </row>
    <row r="681" spans="1:12" ht="15">
      <c r="A681" s="83" t="s">
        <v>2026</v>
      </c>
      <c r="B681" s="88" t="s">
        <v>2029</v>
      </c>
      <c r="C681" s="88">
        <v>5</v>
      </c>
      <c r="D681" s="110">
        <v>0.002976738573218978</v>
      </c>
      <c r="E681" s="110">
        <v>1.404833716619938</v>
      </c>
      <c r="F681" s="88" t="s">
        <v>1786</v>
      </c>
      <c r="G681" s="88" t="b">
        <v>0</v>
      </c>
      <c r="H681" s="88" t="b">
        <v>0</v>
      </c>
      <c r="I681" s="88" t="b">
        <v>0</v>
      </c>
      <c r="J681" s="88" t="b">
        <v>0</v>
      </c>
      <c r="K681" s="88" t="b">
        <v>0</v>
      </c>
      <c r="L681" s="88" t="b">
        <v>0</v>
      </c>
    </row>
    <row r="682" spans="1:12" ht="15">
      <c r="A682" s="83" t="s">
        <v>2029</v>
      </c>
      <c r="B682" s="88" t="s">
        <v>1987</v>
      </c>
      <c r="C682" s="88">
        <v>5</v>
      </c>
      <c r="D682" s="110">
        <v>0.002976738573218978</v>
      </c>
      <c r="E682" s="110">
        <v>1.1038037209559568</v>
      </c>
      <c r="F682" s="88" t="s">
        <v>1786</v>
      </c>
      <c r="G682" s="88" t="b">
        <v>0</v>
      </c>
      <c r="H682" s="88" t="b">
        <v>0</v>
      </c>
      <c r="I682" s="88" t="b">
        <v>0</v>
      </c>
      <c r="J682" s="88" t="b">
        <v>0</v>
      </c>
      <c r="K682" s="88" t="b">
        <v>0</v>
      </c>
      <c r="L682" s="88" t="b">
        <v>0</v>
      </c>
    </row>
    <row r="683" spans="1:12" ht="15">
      <c r="A683" s="83" t="s">
        <v>1987</v>
      </c>
      <c r="B683" s="88" t="s">
        <v>2030</v>
      </c>
      <c r="C683" s="88">
        <v>5</v>
      </c>
      <c r="D683" s="110">
        <v>0.002976738573218978</v>
      </c>
      <c r="E683" s="110">
        <v>1.1038037209559568</v>
      </c>
      <c r="F683" s="88" t="s">
        <v>1786</v>
      </c>
      <c r="G683" s="88" t="b">
        <v>0</v>
      </c>
      <c r="H683" s="88" t="b">
        <v>0</v>
      </c>
      <c r="I683" s="88" t="b">
        <v>0</v>
      </c>
      <c r="J683" s="88" t="b">
        <v>0</v>
      </c>
      <c r="K683" s="88" t="b">
        <v>0</v>
      </c>
      <c r="L683" s="88" t="b">
        <v>0</v>
      </c>
    </row>
    <row r="684" spans="1:12" ht="15">
      <c r="A684" s="83" t="s">
        <v>2030</v>
      </c>
      <c r="B684" s="88" t="s">
        <v>2031</v>
      </c>
      <c r="C684" s="88">
        <v>5</v>
      </c>
      <c r="D684" s="110">
        <v>0.002976738573218978</v>
      </c>
      <c r="E684" s="110">
        <v>1.404833716619938</v>
      </c>
      <c r="F684" s="88" t="s">
        <v>1786</v>
      </c>
      <c r="G684" s="88" t="b">
        <v>0</v>
      </c>
      <c r="H684" s="88" t="b">
        <v>0</v>
      </c>
      <c r="I684" s="88" t="b">
        <v>0</v>
      </c>
      <c r="J684" s="88" t="b">
        <v>0</v>
      </c>
      <c r="K684" s="88" t="b">
        <v>0</v>
      </c>
      <c r="L684" s="88" t="b">
        <v>0</v>
      </c>
    </row>
    <row r="685" spans="1:12" ht="15">
      <c r="A685" s="83" t="s">
        <v>2031</v>
      </c>
      <c r="B685" s="88" t="s">
        <v>2032</v>
      </c>
      <c r="C685" s="88">
        <v>5</v>
      </c>
      <c r="D685" s="110">
        <v>0.002976738573218978</v>
      </c>
      <c r="E685" s="110">
        <v>1.404833716619938</v>
      </c>
      <c r="F685" s="88" t="s">
        <v>1786</v>
      </c>
      <c r="G685" s="88" t="b">
        <v>0</v>
      </c>
      <c r="H685" s="88" t="b">
        <v>0</v>
      </c>
      <c r="I685" s="88" t="b">
        <v>0</v>
      </c>
      <c r="J685" s="88" t="b">
        <v>0</v>
      </c>
      <c r="K685" s="88" t="b">
        <v>0</v>
      </c>
      <c r="L685" s="88" t="b">
        <v>0</v>
      </c>
    </row>
    <row r="686" spans="1:12" ht="15">
      <c r="A686" s="83" t="s">
        <v>2032</v>
      </c>
      <c r="B686" s="88" t="s">
        <v>2458</v>
      </c>
      <c r="C686" s="88">
        <v>5</v>
      </c>
      <c r="D686" s="110">
        <v>0.002976738573218978</v>
      </c>
      <c r="E686" s="110">
        <v>1.404833716619938</v>
      </c>
      <c r="F686" s="88" t="s">
        <v>1786</v>
      </c>
      <c r="G686" s="88" t="b">
        <v>0</v>
      </c>
      <c r="H686" s="88" t="b">
        <v>0</v>
      </c>
      <c r="I686" s="88" t="b">
        <v>0</v>
      </c>
      <c r="J686" s="88" t="b">
        <v>0</v>
      </c>
      <c r="K686" s="88" t="b">
        <v>0</v>
      </c>
      <c r="L686" s="88" t="b">
        <v>0</v>
      </c>
    </row>
    <row r="687" spans="1:12" ht="15">
      <c r="A687" s="83" t="s">
        <v>2458</v>
      </c>
      <c r="B687" s="88" t="s">
        <v>2459</v>
      </c>
      <c r="C687" s="88">
        <v>5</v>
      </c>
      <c r="D687" s="110">
        <v>0.002976738573218978</v>
      </c>
      <c r="E687" s="110">
        <v>1.404833716619938</v>
      </c>
      <c r="F687" s="88" t="s">
        <v>1786</v>
      </c>
      <c r="G687" s="88" t="b">
        <v>0</v>
      </c>
      <c r="H687" s="88" t="b">
        <v>0</v>
      </c>
      <c r="I687" s="88" t="b">
        <v>0</v>
      </c>
      <c r="J687" s="88" t="b">
        <v>0</v>
      </c>
      <c r="K687" s="88" t="b">
        <v>0</v>
      </c>
      <c r="L687" s="88" t="b">
        <v>0</v>
      </c>
    </row>
    <row r="688" spans="1:12" ht="15">
      <c r="A688" s="83" t="s">
        <v>2459</v>
      </c>
      <c r="B688" s="88" t="s">
        <v>1964</v>
      </c>
      <c r="C688" s="88">
        <v>5</v>
      </c>
      <c r="D688" s="110">
        <v>0.002976738573218978</v>
      </c>
      <c r="E688" s="110">
        <v>1.3256524705723132</v>
      </c>
      <c r="F688" s="88" t="s">
        <v>1786</v>
      </c>
      <c r="G688" s="88" t="b">
        <v>0</v>
      </c>
      <c r="H688" s="88" t="b">
        <v>0</v>
      </c>
      <c r="I688" s="88" t="b">
        <v>0</v>
      </c>
      <c r="J688" s="88" t="b">
        <v>0</v>
      </c>
      <c r="K688" s="88" t="b">
        <v>0</v>
      </c>
      <c r="L688" s="88" t="b">
        <v>0</v>
      </c>
    </row>
    <row r="689" spans="1:12" ht="15">
      <c r="A689" s="83" t="s">
        <v>1965</v>
      </c>
      <c r="B689" s="88" t="s">
        <v>1944</v>
      </c>
      <c r="C689" s="88">
        <v>5</v>
      </c>
      <c r="D689" s="110">
        <v>0.002976738573218978</v>
      </c>
      <c r="E689" s="110">
        <v>1.3256524705723132</v>
      </c>
      <c r="F689" s="88" t="s">
        <v>1786</v>
      </c>
      <c r="G689" s="88" t="b">
        <v>0</v>
      </c>
      <c r="H689" s="88" t="b">
        <v>0</v>
      </c>
      <c r="I689" s="88" t="b">
        <v>0</v>
      </c>
      <c r="J689" s="88" t="b">
        <v>0</v>
      </c>
      <c r="K689" s="88" t="b">
        <v>0</v>
      </c>
      <c r="L689" s="88" t="b">
        <v>0</v>
      </c>
    </row>
    <row r="690" spans="1:12" ht="15">
      <c r="A690" s="83" t="s">
        <v>1944</v>
      </c>
      <c r="B690" s="88" t="s">
        <v>2460</v>
      </c>
      <c r="C690" s="88">
        <v>5</v>
      </c>
      <c r="D690" s="110">
        <v>0.002976738573218978</v>
      </c>
      <c r="E690" s="110">
        <v>1.404833716619938</v>
      </c>
      <c r="F690" s="88" t="s">
        <v>1786</v>
      </c>
      <c r="G690" s="88" t="b">
        <v>0</v>
      </c>
      <c r="H690" s="88" t="b">
        <v>0</v>
      </c>
      <c r="I690" s="88" t="b">
        <v>0</v>
      </c>
      <c r="J690" s="88" t="b">
        <v>0</v>
      </c>
      <c r="K690" s="88" t="b">
        <v>0</v>
      </c>
      <c r="L690" s="88" t="b">
        <v>0</v>
      </c>
    </row>
    <row r="691" spans="1:12" ht="15">
      <c r="A691" s="83" t="s">
        <v>2460</v>
      </c>
      <c r="B691" s="88" t="s">
        <v>1987</v>
      </c>
      <c r="C691" s="88">
        <v>5</v>
      </c>
      <c r="D691" s="110">
        <v>0.002976738573218978</v>
      </c>
      <c r="E691" s="110">
        <v>1.1038037209559568</v>
      </c>
      <c r="F691" s="88" t="s">
        <v>1786</v>
      </c>
      <c r="G691" s="88" t="b">
        <v>0</v>
      </c>
      <c r="H691" s="88" t="b">
        <v>0</v>
      </c>
      <c r="I691" s="88" t="b">
        <v>0</v>
      </c>
      <c r="J691" s="88" t="b">
        <v>0</v>
      </c>
      <c r="K691" s="88" t="b">
        <v>0</v>
      </c>
      <c r="L691" s="88" t="b">
        <v>0</v>
      </c>
    </row>
    <row r="692" spans="1:12" ht="15">
      <c r="A692" s="83" t="s">
        <v>1987</v>
      </c>
      <c r="B692" s="88" t="s">
        <v>365</v>
      </c>
      <c r="C692" s="88">
        <v>5</v>
      </c>
      <c r="D692" s="110">
        <v>0.002976738573218978</v>
      </c>
      <c r="E692" s="110">
        <v>1.1038037209559568</v>
      </c>
      <c r="F692" s="88" t="s">
        <v>1786</v>
      </c>
      <c r="G692" s="88" t="b">
        <v>0</v>
      </c>
      <c r="H692" s="88" t="b">
        <v>0</v>
      </c>
      <c r="I692" s="88" t="b">
        <v>0</v>
      </c>
      <c r="J692" s="88" t="b">
        <v>0</v>
      </c>
      <c r="K692" s="88" t="b">
        <v>0</v>
      </c>
      <c r="L692" s="88" t="b">
        <v>0</v>
      </c>
    </row>
    <row r="693" spans="1:12" ht="15">
      <c r="A693" s="83" t="s">
        <v>365</v>
      </c>
      <c r="B693" s="88" t="s">
        <v>2461</v>
      </c>
      <c r="C693" s="88">
        <v>5</v>
      </c>
      <c r="D693" s="110">
        <v>0.002976738573218978</v>
      </c>
      <c r="E693" s="110">
        <v>1.404833716619938</v>
      </c>
      <c r="F693" s="88" t="s">
        <v>1786</v>
      </c>
      <c r="G693" s="88" t="b">
        <v>0</v>
      </c>
      <c r="H693" s="88" t="b">
        <v>0</v>
      </c>
      <c r="I693" s="88" t="b">
        <v>0</v>
      </c>
      <c r="J693" s="88" t="b">
        <v>0</v>
      </c>
      <c r="K693" s="88" t="b">
        <v>0</v>
      </c>
      <c r="L693" s="88" t="b">
        <v>0</v>
      </c>
    </row>
    <row r="694" spans="1:12" ht="15">
      <c r="A694" s="83" t="s">
        <v>2461</v>
      </c>
      <c r="B694" s="88" t="s">
        <v>2462</v>
      </c>
      <c r="C694" s="88">
        <v>5</v>
      </c>
      <c r="D694" s="110">
        <v>0.002976738573218978</v>
      </c>
      <c r="E694" s="110">
        <v>1.404833716619938</v>
      </c>
      <c r="F694" s="88" t="s">
        <v>1786</v>
      </c>
      <c r="G694" s="88" t="b">
        <v>0</v>
      </c>
      <c r="H694" s="88" t="b">
        <v>0</v>
      </c>
      <c r="I694" s="88" t="b">
        <v>0</v>
      </c>
      <c r="J694" s="88" t="b">
        <v>0</v>
      </c>
      <c r="K694" s="88" t="b">
        <v>0</v>
      </c>
      <c r="L694" s="88" t="b">
        <v>0</v>
      </c>
    </row>
    <row r="695" spans="1:12" ht="15">
      <c r="A695" s="83" t="s">
        <v>2462</v>
      </c>
      <c r="B695" s="88" t="s">
        <v>2435</v>
      </c>
      <c r="C695" s="88">
        <v>5</v>
      </c>
      <c r="D695" s="110">
        <v>0.002976738573218978</v>
      </c>
      <c r="E695" s="110">
        <v>1.404833716619938</v>
      </c>
      <c r="F695" s="88" t="s">
        <v>1786</v>
      </c>
      <c r="G695" s="88" t="b">
        <v>0</v>
      </c>
      <c r="H695" s="88" t="b">
        <v>0</v>
      </c>
      <c r="I695" s="88" t="b">
        <v>0</v>
      </c>
      <c r="J695" s="88" t="b">
        <v>0</v>
      </c>
      <c r="K695" s="88" t="b">
        <v>0</v>
      </c>
      <c r="L695" s="88" t="b">
        <v>0</v>
      </c>
    </row>
    <row r="696" spans="1:12" ht="15">
      <c r="A696" s="83" t="s">
        <v>2435</v>
      </c>
      <c r="B696" s="88" t="s">
        <v>2463</v>
      </c>
      <c r="C696" s="88">
        <v>5</v>
      </c>
      <c r="D696" s="110">
        <v>0.002976738573218978</v>
      </c>
      <c r="E696" s="110">
        <v>1.404833716619938</v>
      </c>
      <c r="F696" s="88" t="s">
        <v>1786</v>
      </c>
      <c r="G696" s="88" t="b">
        <v>0</v>
      </c>
      <c r="H696" s="88" t="b">
        <v>0</v>
      </c>
      <c r="I696" s="88" t="b">
        <v>0</v>
      </c>
      <c r="J696" s="88" t="b">
        <v>0</v>
      </c>
      <c r="K696" s="88" t="b">
        <v>0</v>
      </c>
      <c r="L696" s="88" t="b">
        <v>0</v>
      </c>
    </row>
    <row r="697" spans="1:12" ht="15">
      <c r="A697" s="83" t="s">
        <v>2463</v>
      </c>
      <c r="B697" s="88" t="s">
        <v>1968</v>
      </c>
      <c r="C697" s="88">
        <v>5</v>
      </c>
      <c r="D697" s="110">
        <v>0.002976738573218978</v>
      </c>
      <c r="E697" s="110">
        <v>1.404833716619938</v>
      </c>
      <c r="F697" s="88" t="s">
        <v>1786</v>
      </c>
      <c r="G697" s="88" t="b">
        <v>0</v>
      </c>
      <c r="H697" s="88" t="b">
        <v>0</v>
      </c>
      <c r="I697" s="88" t="b">
        <v>0</v>
      </c>
      <c r="J697" s="88" t="b">
        <v>0</v>
      </c>
      <c r="K697" s="88" t="b">
        <v>0</v>
      </c>
      <c r="L697" s="88" t="b">
        <v>0</v>
      </c>
    </row>
    <row r="698" spans="1:12" ht="15">
      <c r="A698" s="83" t="s">
        <v>1968</v>
      </c>
      <c r="B698" s="88" t="s">
        <v>1969</v>
      </c>
      <c r="C698" s="88">
        <v>5</v>
      </c>
      <c r="D698" s="110">
        <v>0.002976738573218978</v>
      </c>
      <c r="E698" s="110">
        <v>1.404833716619938</v>
      </c>
      <c r="F698" s="88" t="s">
        <v>1786</v>
      </c>
      <c r="G698" s="88" t="b">
        <v>0</v>
      </c>
      <c r="H698" s="88" t="b">
        <v>0</v>
      </c>
      <c r="I698" s="88" t="b">
        <v>0</v>
      </c>
      <c r="J698" s="88" t="b">
        <v>0</v>
      </c>
      <c r="K698" s="88" t="b">
        <v>0</v>
      </c>
      <c r="L698" s="88" t="b">
        <v>0</v>
      </c>
    </row>
    <row r="699" spans="1:12" ht="15">
      <c r="A699" s="83" t="s">
        <v>1969</v>
      </c>
      <c r="B699" s="88" t="s">
        <v>2027</v>
      </c>
      <c r="C699" s="88">
        <v>5</v>
      </c>
      <c r="D699" s="110">
        <v>0.002976738573218978</v>
      </c>
      <c r="E699" s="110">
        <v>1.3256524705723132</v>
      </c>
      <c r="F699" s="88" t="s">
        <v>1786</v>
      </c>
      <c r="G699" s="88" t="b">
        <v>0</v>
      </c>
      <c r="H699" s="88" t="b">
        <v>0</v>
      </c>
      <c r="I699" s="88" t="b">
        <v>0</v>
      </c>
      <c r="J699" s="88" t="b">
        <v>0</v>
      </c>
      <c r="K699" s="88" t="b">
        <v>0</v>
      </c>
      <c r="L699" s="88" t="b">
        <v>0</v>
      </c>
    </row>
    <row r="700" spans="1:12" ht="15">
      <c r="A700" s="83" t="s">
        <v>2027</v>
      </c>
      <c r="B700" s="88" t="s">
        <v>2028</v>
      </c>
      <c r="C700" s="88">
        <v>5</v>
      </c>
      <c r="D700" s="110">
        <v>0.002976738573218978</v>
      </c>
      <c r="E700" s="110">
        <v>1.2464712245246885</v>
      </c>
      <c r="F700" s="88" t="s">
        <v>1786</v>
      </c>
      <c r="G700" s="88" t="b">
        <v>0</v>
      </c>
      <c r="H700" s="88" t="b">
        <v>0</v>
      </c>
      <c r="I700" s="88" t="b">
        <v>0</v>
      </c>
      <c r="J700" s="88" t="b">
        <v>0</v>
      </c>
      <c r="K700" s="88" t="b">
        <v>0</v>
      </c>
      <c r="L700" s="88" t="b">
        <v>0</v>
      </c>
    </row>
    <row r="701" spans="1:12" ht="15">
      <c r="A701" s="83" t="s">
        <v>2445</v>
      </c>
      <c r="B701" s="88" t="s">
        <v>2465</v>
      </c>
      <c r="C701" s="88">
        <v>4</v>
      </c>
      <c r="D701" s="110">
        <v>0</v>
      </c>
      <c r="E701" s="110">
        <v>0.9030899869919435</v>
      </c>
      <c r="F701" s="88" t="s">
        <v>1788</v>
      </c>
      <c r="G701" s="88" t="b">
        <v>0</v>
      </c>
      <c r="H701" s="88" t="b">
        <v>0</v>
      </c>
      <c r="I701" s="88" t="b">
        <v>0</v>
      </c>
      <c r="J701" s="88" t="b">
        <v>0</v>
      </c>
      <c r="K701" s="88" t="b">
        <v>0</v>
      </c>
      <c r="L701" s="88" t="b">
        <v>0</v>
      </c>
    </row>
    <row r="702" spans="1:12" ht="15">
      <c r="A702" s="83" t="s">
        <v>2465</v>
      </c>
      <c r="B702" s="88" t="s">
        <v>2494</v>
      </c>
      <c r="C702" s="88">
        <v>4</v>
      </c>
      <c r="D702" s="110">
        <v>0</v>
      </c>
      <c r="E702" s="110">
        <v>0.9030899869919435</v>
      </c>
      <c r="F702" s="88" t="s">
        <v>1788</v>
      </c>
      <c r="G702" s="88" t="b">
        <v>0</v>
      </c>
      <c r="H702" s="88" t="b">
        <v>0</v>
      </c>
      <c r="I702" s="88" t="b">
        <v>0</v>
      </c>
      <c r="J702" s="88" t="b">
        <v>0</v>
      </c>
      <c r="K702" s="88" t="b">
        <v>0</v>
      </c>
      <c r="L702" s="88" t="b">
        <v>0</v>
      </c>
    </row>
    <row r="703" spans="1:12" ht="15">
      <c r="A703" s="83" t="s">
        <v>2494</v>
      </c>
      <c r="B703" s="88" t="s">
        <v>2466</v>
      </c>
      <c r="C703" s="88">
        <v>4</v>
      </c>
      <c r="D703" s="110">
        <v>0</v>
      </c>
      <c r="E703" s="110">
        <v>0.9030899869919435</v>
      </c>
      <c r="F703" s="88" t="s">
        <v>1788</v>
      </c>
      <c r="G703" s="88" t="b">
        <v>0</v>
      </c>
      <c r="H703" s="88" t="b">
        <v>0</v>
      </c>
      <c r="I703" s="88" t="b">
        <v>0</v>
      </c>
      <c r="J703" s="88" t="b">
        <v>0</v>
      </c>
      <c r="K703" s="88" t="b">
        <v>0</v>
      </c>
      <c r="L703" s="88" t="b">
        <v>0</v>
      </c>
    </row>
    <row r="704" spans="1:12" ht="15">
      <c r="A704" s="83" t="s">
        <v>2466</v>
      </c>
      <c r="B704" s="88" t="s">
        <v>2437</v>
      </c>
      <c r="C704" s="88">
        <v>4</v>
      </c>
      <c r="D704" s="110">
        <v>0</v>
      </c>
      <c r="E704" s="110">
        <v>0.9030899869919435</v>
      </c>
      <c r="F704" s="88" t="s">
        <v>1788</v>
      </c>
      <c r="G704" s="88" t="b">
        <v>0</v>
      </c>
      <c r="H704" s="88" t="b">
        <v>0</v>
      </c>
      <c r="I704" s="88" t="b">
        <v>0</v>
      </c>
      <c r="J704" s="88" t="b">
        <v>0</v>
      </c>
      <c r="K704" s="88" t="b">
        <v>0</v>
      </c>
      <c r="L704" s="88" t="b">
        <v>0</v>
      </c>
    </row>
    <row r="705" spans="1:12" ht="15">
      <c r="A705" s="83" t="s">
        <v>2437</v>
      </c>
      <c r="B705" s="88" t="s">
        <v>2443</v>
      </c>
      <c r="C705" s="88">
        <v>4</v>
      </c>
      <c r="D705" s="110">
        <v>0</v>
      </c>
      <c r="E705" s="110">
        <v>0.9030899869919435</v>
      </c>
      <c r="F705" s="88" t="s">
        <v>1788</v>
      </c>
      <c r="G705" s="88" t="b">
        <v>0</v>
      </c>
      <c r="H705" s="88" t="b">
        <v>0</v>
      </c>
      <c r="I705" s="88" t="b">
        <v>0</v>
      </c>
      <c r="J705" s="88" t="b">
        <v>0</v>
      </c>
      <c r="K705" s="88" t="b">
        <v>0</v>
      </c>
      <c r="L705" s="88" t="b">
        <v>0</v>
      </c>
    </row>
    <row r="706" spans="1:12" ht="15">
      <c r="A706" s="83" t="s">
        <v>2443</v>
      </c>
      <c r="B706" s="88" t="s">
        <v>1944</v>
      </c>
      <c r="C706" s="88">
        <v>4</v>
      </c>
      <c r="D706" s="110">
        <v>0</v>
      </c>
      <c r="E706" s="110">
        <v>0.9030899869919435</v>
      </c>
      <c r="F706" s="88" t="s">
        <v>1788</v>
      </c>
      <c r="G706" s="88" t="b">
        <v>0</v>
      </c>
      <c r="H706" s="88" t="b">
        <v>0</v>
      </c>
      <c r="I706" s="88" t="b">
        <v>0</v>
      </c>
      <c r="J706" s="88" t="b">
        <v>0</v>
      </c>
      <c r="K706" s="88" t="b">
        <v>0</v>
      </c>
      <c r="L706" s="88" t="b">
        <v>0</v>
      </c>
    </row>
    <row r="707" spans="1:12" ht="15">
      <c r="A707" s="83" t="s">
        <v>1944</v>
      </c>
      <c r="B707" s="88" t="s">
        <v>2426</v>
      </c>
      <c r="C707" s="88">
        <v>4</v>
      </c>
      <c r="D707" s="110">
        <v>0</v>
      </c>
      <c r="E707" s="110">
        <v>0.9030899869919435</v>
      </c>
      <c r="F707" s="88" t="s">
        <v>1788</v>
      </c>
      <c r="G707" s="88" t="b">
        <v>0</v>
      </c>
      <c r="H707" s="88" t="b">
        <v>0</v>
      </c>
      <c r="I707" s="88" t="b">
        <v>0</v>
      </c>
      <c r="J707" s="88" t="b">
        <v>0</v>
      </c>
      <c r="K707" s="88" t="b">
        <v>0</v>
      </c>
      <c r="L707" s="88" t="b">
        <v>0</v>
      </c>
    </row>
    <row r="708" spans="1:12" ht="15">
      <c r="A708" s="83" t="s">
        <v>2426</v>
      </c>
      <c r="B708" s="88" t="s">
        <v>2438</v>
      </c>
      <c r="C708" s="88">
        <v>4</v>
      </c>
      <c r="D708" s="110">
        <v>0</v>
      </c>
      <c r="E708" s="110">
        <v>0.9030899869919435</v>
      </c>
      <c r="F708" s="88" t="s">
        <v>1788</v>
      </c>
      <c r="G708" s="88" t="b">
        <v>0</v>
      </c>
      <c r="H708" s="88" t="b">
        <v>0</v>
      </c>
      <c r="I708" s="88" t="b">
        <v>0</v>
      </c>
      <c r="J708" s="88" t="b">
        <v>0</v>
      </c>
      <c r="K708" s="88" t="b">
        <v>0</v>
      </c>
      <c r="L708" s="88" t="b">
        <v>0</v>
      </c>
    </row>
    <row r="709" spans="1:12" ht="15">
      <c r="A709" s="83" t="s">
        <v>1976</v>
      </c>
      <c r="B709" s="88" t="s">
        <v>1977</v>
      </c>
      <c r="C709" s="88">
        <v>3</v>
      </c>
      <c r="D709" s="110">
        <v>0</v>
      </c>
      <c r="E709" s="110">
        <v>0.9542425094393249</v>
      </c>
      <c r="F709" s="88" t="s">
        <v>1789</v>
      </c>
      <c r="G709" s="88" t="b">
        <v>0</v>
      </c>
      <c r="H709" s="88" t="b">
        <v>0</v>
      </c>
      <c r="I709" s="88" t="b">
        <v>0</v>
      </c>
      <c r="J709" s="88" t="b">
        <v>0</v>
      </c>
      <c r="K709" s="88" t="b">
        <v>0</v>
      </c>
      <c r="L709" s="88" t="b">
        <v>0</v>
      </c>
    </row>
    <row r="710" spans="1:12" ht="15">
      <c r="A710" s="83" t="s">
        <v>1977</v>
      </c>
      <c r="B710" s="88" t="s">
        <v>1981</v>
      </c>
      <c r="C710" s="88">
        <v>3</v>
      </c>
      <c r="D710" s="110">
        <v>0</v>
      </c>
      <c r="E710" s="110">
        <v>0.9542425094393249</v>
      </c>
      <c r="F710" s="88" t="s">
        <v>1789</v>
      </c>
      <c r="G710" s="88" t="b">
        <v>0</v>
      </c>
      <c r="H710" s="88" t="b">
        <v>0</v>
      </c>
      <c r="I710" s="88" t="b">
        <v>0</v>
      </c>
      <c r="J710" s="88" t="b">
        <v>0</v>
      </c>
      <c r="K710" s="88" t="b">
        <v>0</v>
      </c>
      <c r="L710" s="88" t="b">
        <v>0</v>
      </c>
    </row>
    <row r="711" spans="1:12" ht="15">
      <c r="A711" s="83" t="s">
        <v>1981</v>
      </c>
      <c r="B711" s="88" t="s">
        <v>1964</v>
      </c>
      <c r="C711" s="88">
        <v>3</v>
      </c>
      <c r="D711" s="110">
        <v>0</v>
      </c>
      <c r="E711" s="110">
        <v>0.9542425094393249</v>
      </c>
      <c r="F711" s="88" t="s">
        <v>1789</v>
      </c>
      <c r="G711" s="88" t="b">
        <v>0</v>
      </c>
      <c r="H711" s="88" t="b">
        <v>0</v>
      </c>
      <c r="I711" s="88" t="b">
        <v>0</v>
      </c>
      <c r="J711" s="88" t="b">
        <v>0</v>
      </c>
      <c r="K711" s="88" t="b">
        <v>0</v>
      </c>
      <c r="L711" s="88" t="b">
        <v>0</v>
      </c>
    </row>
    <row r="712" spans="1:12" ht="15">
      <c r="A712" s="83" t="s">
        <v>1964</v>
      </c>
      <c r="B712" s="88" t="s">
        <v>1965</v>
      </c>
      <c r="C712" s="88">
        <v>3</v>
      </c>
      <c r="D712" s="110">
        <v>0</v>
      </c>
      <c r="E712" s="110">
        <v>0.9542425094393249</v>
      </c>
      <c r="F712" s="88" t="s">
        <v>1789</v>
      </c>
      <c r="G712" s="88" t="b">
        <v>0</v>
      </c>
      <c r="H712" s="88" t="b">
        <v>0</v>
      </c>
      <c r="I712" s="88" t="b">
        <v>0</v>
      </c>
      <c r="J712" s="88" t="b">
        <v>0</v>
      </c>
      <c r="K712" s="88" t="b">
        <v>0</v>
      </c>
      <c r="L712" s="88" t="b">
        <v>0</v>
      </c>
    </row>
    <row r="713" spans="1:12" ht="15">
      <c r="A713" s="83" t="s">
        <v>1965</v>
      </c>
      <c r="B713" s="88" t="s">
        <v>1944</v>
      </c>
      <c r="C713" s="88">
        <v>3</v>
      </c>
      <c r="D713" s="110">
        <v>0</v>
      </c>
      <c r="E713" s="110">
        <v>0.9542425094393249</v>
      </c>
      <c r="F713" s="88" t="s">
        <v>1789</v>
      </c>
      <c r="G713" s="88" t="b">
        <v>0</v>
      </c>
      <c r="H713" s="88" t="b">
        <v>0</v>
      </c>
      <c r="I713" s="88" t="b">
        <v>0</v>
      </c>
      <c r="J713" s="88" t="b">
        <v>0</v>
      </c>
      <c r="K713" s="88" t="b">
        <v>0</v>
      </c>
      <c r="L713" s="88" t="b">
        <v>0</v>
      </c>
    </row>
    <row r="714" spans="1:12" ht="15">
      <c r="A714" s="83" t="s">
        <v>1944</v>
      </c>
      <c r="B714" s="88" t="s">
        <v>1978</v>
      </c>
      <c r="C714" s="88">
        <v>3</v>
      </c>
      <c r="D714" s="110">
        <v>0</v>
      </c>
      <c r="E714" s="110">
        <v>0.9542425094393249</v>
      </c>
      <c r="F714" s="88" t="s">
        <v>1789</v>
      </c>
      <c r="G714" s="88" t="b">
        <v>0</v>
      </c>
      <c r="H714" s="88" t="b">
        <v>0</v>
      </c>
      <c r="I714" s="88" t="b">
        <v>0</v>
      </c>
      <c r="J714" s="88" t="b">
        <v>0</v>
      </c>
      <c r="K714" s="88" t="b">
        <v>0</v>
      </c>
      <c r="L714" s="88" t="b">
        <v>0</v>
      </c>
    </row>
    <row r="715" spans="1:12" ht="15">
      <c r="A715" s="83" t="s">
        <v>1978</v>
      </c>
      <c r="B715" s="88" t="s">
        <v>1982</v>
      </c>
      <c r="C715" s="88">
        <v>3</v>
      </c>
      <c r="D715" s="110">
        <v>0</v>
      </c>
      <c r="E715" s="110">
        <v>0.9542425094393249</v>
      </c>
      <c r="F715" s="88" t="s">
        <v>1789</v>
      </c>
      <c r="G715" s="88" t="b">
        <v>0</v>
      </c>
      <c r="H715" s="88" t="b">
        <v>0</v>
      </c>
      <c r="I715" s="88" t="b">
        <v>0</v>
      </c>
      <c r="J715" s="88" t="b">
        <v>0</v>
      </c>
      <c r="K715" s="88" t="b">
        <v>0</v>
      </c>
      <c r="L715" s="88" t="b">
        <v>0</v>
      </c>
    </row>
    <row r="716" spans="1:12" ht="15">
      <c r="A716" s="83" t="s">
        <v>1982</v>
      </c>
      <c r="B716" s="88" t="s">
        <v>1979</v>
      </c>
      <c r="C716" s="88">
        <v>3</v>
      </c>
      <c r="D716" s="110">
        <v>0</v>
      </c>
      <c r="E716" s="110">
        <v>0.9542425094393249</v>
      </c>
      <c r="F716" s="88" t="s">
        <v>1789</v>
      </c>
      <c r="G716" s="88" t="b">
        <v>0</v>
      </c>
      <c r="H716" s="88" t="b">
        <v>0</v>
      </c>
      <c r="I716" s="88" t="b">
        <v>0</v>
      </c>
      <c r="J716" s="88" t="b">
        <v>0</v>
      </c>
      <c r="K716" s="88" t="b">
        <v>0</v>
      </c>
      <c r="L716" s="88" t="b">
        <v>0</v>
      </c>
    </row>
    <row r="717" spans="1:12" ht="15">
      <c r="A717" s="83" t="s">
        <v>1979</v>
      </c>
      <c r="B717" s="88" t="s">
        <v>1980</v>
      </c>
      <c r="C717" s="88">
        <v>3</v>
      </c>
      <c r="D717" s="110">
        <v>0</v>
      </c>
      <c r="E717" s="110">
        <v>0.9542425094393249</v>
      </c>
      <c r="F717" s="88" t="s">
        <v>1789</v>
      </c>
      <c r="G717" s="88" t="b">
        <v>0</v>
      </c>
      <c r="H717" s="88" t="b">
        <v>0</v>
      </c>
      <c r="I717" s="88" t="b">
        <v>0</v>
      </c>
      <c r="J717" s="88" t="b">
        <v>0</v>
      </c>
      <c r="K717" s="88" t="b">
        <v>0</v>
      </c>
      <c r="L717" s="88" t="b">
        <v>0</v>
      </c>
    </row>
    <row r="718" spans="1:12" ht="15">
      <c r="A718" s="83" t="s">
        <v>1964</v>
      </c>
      <c r="B718" s="88" t="s">
        <v>1965</v>
      </c>
      <c r="C718" s="88">
        <v>7</v>
      </c>
      <c r="D718" s="110">
        <v>0.0036571498094036675</v>
      </c>
      <c r="E718" s="110">
        <v>1.0517552907355419</v>
      </c>
      <c r="F718" s="88" t="s">
        <v>1790</v>
      </c>
      <c r="G718" s="88" t="b">
        <v>0</v>
      </c>
      <c r="H718" s="88" t="b">
        <v>0</v>
      </c>
      <c r="I718" s="88" t="b">
        <v>0</v>
      </c>
      <c r="J718" s="88" t="b">
        <v>0</v>
      </c>
      <c r="K718" s="88" t="b">
        <v>0</v>
      </c>
      <c r="L718" s="88" t="b">
        <v>0</v>
      </c>
    </row>
    <row r="719" spans="1:12" ht="15">
      <c r="A719" s="83" t="s">
        <v>1965</v>
      </c>
      <c r="B719" s="88" t="s">
        <v>1944</v>
      </c>
      <c r="C719" s="88">
        <v>7</v>
      </c>
      <c r="D719" s="110">
        <v>0.0036571498094036675</v>
      </c>
      <c r="E719" s="110">
        <v>0.9134525925692604</v>
      </c>
      <c r="F719" s="88" t="s">
        <v>1790</v>
      </c>
      <c r="G719" s="88" t="b">
        <v>0</v>
      </c>
      <c r="H719" s="88" t="b">
        <v>0</v>
      </c>
      <c r="I719" s="88" t="b">
        <v>0</v>
      </c>
      <c r="J719" s="88" t="b">
        <v>0</v>
      </c>
      <c r="K719" s="88" t="b">
        <v>0</v>
      </c>
      <c r="L719" s="88" t="b">
        <v>0</v>
      </c>
    </row>
    <row r="720" spans="1:12" ht="15">
      <c r="A720" s="83" t="s">
        <v>2496</v>
      </c>
      <c r="B720" s="88" t="s">
        <v>1978</v>
      </c>
      <c r="C720" s="88">
        <v>3</v>
      </c>
      <c r="D720" s="110">
        <v>0.011512668439791382</v>
      </c>
      <c r="E720" s="110">
        <v>1.4107772333772097</v>
      </c>
      <c r="F720" s="88" t="s">
        <v>1790</v>
      </c>
      <c r="G720" s="88" t="b">
        <v>0</v>
      </c>
      <c r="H720" s="88" t="b">
        <v>0</v>
      </c>
      <c r="I720" s="88" t="b">
        <v>0</v>
      </c>
      <c r="J720" s="88" t="b">
        <v>0</v>
      </c>
      <c r="K720" s="88" t="b">
        <v>0</v>
      </c>
      <c r="L720" s="88" t="b">
        <v>0</v>
      </c>
    </row>
    <row r="721" spans="1:12" ht="15">
      <c r="A721" s="83" t="s">
        <v>1978</v>
      </c>
      <c r="B721" s="88" t="s">
        <v>2539</v>
      </c>
      <c r="C721" s="88">
        <v>3</v>
      </c>
      <c r="D721" s="110">
        <v>0.011512668439791382</v>
      </c>
      <c r="E721" s="110">
        <v>1.5357159699855099</v>
      </c>
      <c r="F721" s="88" t="s">
        <v>1790</v>
      </c>
      <c r="G721" s="88" t="b">
        <v>0</v>
      </c>
      <c r="H721" s="88" t="b">
        <v>0</v>
      </c>
      <c r="I721" s="88" t="b">
        <v>0</v>
      </c>
      <c r="J721" s="88" t="b">
        <v>0</v>
      </c>
      <c r="K721" s="88" t="b">
        <v>0</v>
      </c>
      <c r="L721" s="88" t="b">
        <v>0</v>
      </c>
    </row>
    <row r="722" spans="1:12" ht="15">
      <c r="A722" s="83" t="s">
        <v>2539</v>
      </c>
      <c r="B722" s="88" t="s">
        <v>1964</v>
      </c>
      <c r="C722" s="88">
        <v>3</v>
      </c>
      <c r="D722" s="110">
        <v>0.011512668439791382</v>
      </c>
      <c r="E722" s="110">
        <v>1.2346859743215286</v>
      </c>
      <c r="F722" s="88" t="s">
        <v>1790</v>
      </c>
      <c r="G722" s="88" t="b">
        <v>0</v>
      </c>
      <c r="H722" s="88" t="b">
        <v>0</v>
      </c>
      <c r="I722" s="88" t="b">
        <v>0</v>
      </c>
      <c r="J722" s="88" t="b">
        <v>0</v>
      </c>
      <c r="K722" s="88" t="b">
        <v>0</v>
      </c>
      <c r="L722" s="88" t="b">
        <v>0</v>
      </c>
    </row>
    <row r="723" spans="1:12" ht="15">
      <c r="A723" s="83" t="s">
        <v>1944</v>
      </c>
      <c r="B723" s="88" t="s">
        <v>2540</v>
      </c>
      <c r="C723" s="88">
        <v>3</v>
      </c>
      <c r="D723" s="110">
        <v>0.011512668439791382</v>
      </c>
      <c r="E723" s="110">
        <v>1.0128372247051722</v>
      </c>
      <c r="F723" s="88" t="s">
        <v>1790</v>
      </c>
      <c r="G723" s="88" t="b">
        <v>0</v>
      </c>
      <c r="H723" s="88" t="b">
        <v>0</v>
      </c>
      <c r="I723" s="88" t="b">
        <v>0</v>
      </c>
      <c r="J723" s="88" t="b">
        <v>0</v>
      </c>
      <c r="K723" s="88" t="b">
        <v>0</v>
      </c>
      <c r="L723" s="88" t="b">
        <v>0</v>
      </c>
    </row>
    <row r="724" spans="1:12" ht="15">
      <c r="A724" s="83" t="s">
        <v>2540</v>
      </c>
      <c r="B724" s="88" t="s">
        <v>1993</v>
      </c>
      <c r="C724" s="88">
        <v>3</v>
      </c>
      <c r="D724" s="110">
        <v>0.011512668439791382</v>
      </c>
      <c r="E724" s="110">
        <v>1.5357159699855099</v>
      </c>
      <c r="F724" s="88" t="s">
        <v>1790</v>
      </c>
      <c r="G724" s="88" t="b">
        <v>0</v>
      </c>
      <c r="H724" s="88" t="b">
        <v>0</v>
      </c>
      <c r="I724" s="88" t="b">
        <v>0</v>
      </c>
      <c r="J724" s="88" t="b">
        <v>0</v>
      </c>
      <c r="K724" s="88" t="b">
        <v>0</v>
      </c>
      <c r="L724" s="88" t="b">
        <v>0</v>
      </c>
    </row>
    <row r="725" spans="1:12" ht="15">
      <c r="A725" s="83" t="s">
        <v>1993</v>
      </c>
      <c r="B725" s="88" t="s">
        <v>2541</v>
      </c>
      <c r="C725" s="88">
        <v>3</v>
      </c>
      <c r="D725" s="110">
        <v>0.011512668439791382</v>
      </c>
      <c r="E725" s="110">
        <v>1.5357159699855099</v>
      </c>
      <c r="F725" s="88" t="s">
        <v>1790</v>
      </c>
      <c r="G725" s="88" t="b">
        <v>0</v>
      </c>
      <c r="H725" s="88" t="b">
        <v>0</v>
      </c>
      <c r="I725" s="88" t="b">
        <v>0</v>
      </c>
      <c r="J725" s="88" t="b">
        <v>0</v>
      </c>
      <c r="K725" s="88" t="b">
        <v>0</v>
      </c>
      <c r="L725" s="88" t="b">
        <v>0</v>
      </c>
    </row>
    <row r="726" spans="1:12" ht="15">
      <c r="A726" s="83" t="s">
        <v>2541</v>
      </c>
      <c r="B726" s="88" t="s">
        <v>2542</v>
      </c>
      <c r="C726" s="88">
        <v>3</v>
      </c>
      <c r="D726" s="110">
        <v>0.011512668439791382</v>
      </c>
      <c r="E726" s="110">
        <v>1.5357159699855099</v>
      </c>
      <c r="F726" s="88" t="s">
        <v>1790</v>
      </c>
      <c r="G726" s="88" t="b">
        <v>0</v>
      </c>
      <c r="H726" s="88" t="b">
        <v>0</v>
      </c>
      <c r="I726" s="88" t="b">
        <v>0</v>
      </c>
      <c r="J726" s="88" t="b">
        <v>0</v>
      </c>
      <c r="K726" s="88" t="b">
        <v>0</v>
      </c>
      <c r="L726" s="88" t="b">
        <v>0</v>
      </c>
    </row>
    <row r="727" spans="1:12" ht="15">
      <c r="A727" s="83" t="s">
        <v>2433</v>
      </c>
      <c r="B727" s="88" t="s">
        <v>2662</v>
      </c>
      <c r="C727" s="88">
        <v>2</v>
      </c>
      <c r="D727" s="110">
        <v>0.016271891657512496</v>
      </c>
      <c r="E727" s="110">
        <v>1.5357159699855096</v>
      </c>
      <c r="F727" s="88" t="s">
        <v>1790</v>
      </c>
      <c r="G727" s="88" t="b">
        <v>0</v>
      </c>
      <c r="H727" s="88" t="b">
        <v>0</v>
      </c>
      <c r="I727" s="88" t="b">
        <v>0</v>
      </c>
      <c r="J727" s="88" t="b">
        <v>0</v>
      </c>
      <c r="K727" s="88" t="b">
        <v>0</v>
      </c>
      <c r="L727" s="88" t="b">
        <v>0</v>
      </c>
    </row>
    <row r="728" spans="1:12" ht="15">
      <c r="A728" s="83" t="s">
        <v>2549</v>
      </c>
      <c r="B728" s="88" t="s">
        <v>2550</v>
      </c>
      <c r="C728" s="88">
        <v>3</v>
      </c>
      <c r="D728" s="110">
        <v>0</v>
      </c>
      <c r="E728" s="110">
        <v>1.278753600952829</v>
      </c>
      <c r="F728" s="88" t="s">
        <v>1791</v>
      </c>
      <c r="G728" s="88" t="b">
        <v>0</v>
      </c>
      <c r="H728" s="88" t="b">
        <v>1</v>
      </c>
      <c r="I728" s="88" t="b">
        <v>0</v>
      </c>
      <c r="J728" s="88" t="b">
        <v>0</v>
      </c>
      <c r="K728" s="88" t="b">
        <v>0</v>
      </c>
      <c r="L728" s="88" t="b">
        <v>0</v>
      </c>
    </row>
    <row r="729" spans="1:12" ht="15">
      <c r="A729" s="83" t="s">
        <v>2550</v>
      </c>
      <c r="B729" s="88" t="s">
        <v>2551</v>
      </c>
      <c r="C729" s="88">
        <v>3</v>
      </c>
      <c r="D729" s="110">
        <v>0</v>
      </c>
      <c r="E729" s="110">
        <v>1.278753600952829</v>
      </c>
      <c r="F729" s="88" t="s">
        <v>1791</v>
      </c>
      <c r="G729" s="88" t="b">
        <v>0</v>
      </c>
      <c r="H729" s="88" t="b">
        <v>0</v>
      </c>
      <c r="I729" s="88" t="b">
        <v>0</v>
      </c>
      <c r="J729" s="88" t="b">
        <v>0</v>
      </c>
      <c r="K729" s="88" t="b">
        <v>0</v>
      </c>
      <c r="L729" s="88" t="b">
        <v>0</v>
      </c>
    </row>
    <row r="730" spans="1:12" ht="15">
      <c r="A730" s="83" t="s">
        <v>2551</v>
      </c>
      <c r="B730" s="88" t="s">
        <v>2552</v>
      </c>
      <c r="C730" s="88">
        <v>3</v>
      </c>
      <c r="D730" s="110">
        <v>0</v>
      </c>
      <c r="E730" s="110">
        <v>1.278753600952829</v>
      </c>
      <c r="F730" s="88" t="s">
        <v>1791</v>
      </c>
      <c r="G730" s="88" t="b">
        <v>0</v>
      </c>
      <c r="H730" s="88" t="b">
        <v>0</v>
      </c>
      <c r="I730" s="88" t="b">
        <v>0</v>
      </c>
      <c r="J730" s="88" t="b">
        <v>0</v>
      </c>
      <c r="K730" s="88" t="b">
        <v>0</v>
      </c>
      <c r="L730" s="88" t="b">
        <v>0</v>
      </c>
    </row>
    <row r="731" spans="1:12" ht="15">
      <c r="A731" s="83" t="s">
        <v>2552</v>
      </c>
      <c r="B731" s="88" t="s">
        <v>2553</v>
      </c>
      <c r="C731" s="88">
        <v>3</v>
      </c>
      <c r="D731" s="110">
        <v>0</v>
      </c>
      <c r="E731" s="110">
        <v>1.278753600952829</v>
      </c>
      <c r="F731" s="88" t="s">
        <v>1791</v>
      </c>
      <c r="G731" s="88" t="b">
        <v>0</v>
      </c>
      <c r="H731" s="88" t="b">
        <v>0</v>
      </c>
      <c r="I731" s="88" t="b">
        <v>0</v>
      </c>
      <c r="J731" s="88" t="b">
        <v>0</v>
      </c>
      <c r="K731" s="88" t="b">
        <v>0</v>
      </c>
      <c r="L731" s="88" t="b">
        <v>0</v>
      </c>
    </row>
    <row r="732" spans="1:12" ht="15">
      <c r="A732" s="83" t="s">
        <v>2553</v>
      </c>
      <c r="B732" s="88" t="s">
        <v>1964</v>
      </c>
      <c r="C732" s="88">
        <v>3</v>
      </c>
      <c r="D732" s="110">
        <v>0</v>
      </c>
      <c r="E732" s="110">
        <v>1.278753600952829</v>
      </c>
      <c r="F732" s="88" t="s">
        <v>1791</v>
      </c>
      <c r="G732" s="88" t="b">
        <v>0</v>
      </c>
      <c r="H732" s="88" t="b">
        <v>0</v>
      </c>
      <c r="I732" s="88" t="b">
        <v>0</v>
      </c>
      <c r="J732" s="88" t="b">
        <v>0</v>
      </c>
      <c r="K732" s="88" t="b">
        <v>0</v>
      </c>
      <c r="L732" s="88" t="b">
        <v>0</v>
      </c>
    </row>
    <row r="733" spans="1:12" ht="15">
      <c r="A733" s="83" t="s">
        <v>1964</v>
      </c>
      <c r="B733" s="88" t="s">
        <v>1965</v>
      </c>
      <c r="C733" s="88">
        <v>3</v>
      </c>
      <c r="D733" s="110">
        <v>0</v>
      </c>
      <c r="E733" s="110">
        <v>1.278753600952829</v>
      </c>
      <c r="F733" s="88" t="s">
        <v>1791</v>
      </c>
      <c r="G733" s="88" t="b">
        <v>0</v>
      </c>
      <c r="H733" s="88" t="b">
        <v>0</v>
      </c>
      <c r="I733" s="88" t="b">
        <v>0</v>
      </c>
      <c r="J733" s="88" t="b">
        <v>0</v>
      </c>
      <c r="K733" s="88" t="b">
        <v>0</v>
      </c>
      <c r="L733" s="88" t="b">
        <v>0</v>
      </c>
    </row>
    <row r="734" spans="1:12" ht="15">
      <c r="A734" s="83" t="s">
        <v>1965</v>
      </c>
      <c r="B734" s="88" t="s">
        <v>2554</v>
      </c>
      <c r="C734" s="88">
        <v>3</v>
      </c>
      <c r="D734" s="110">
        <v>0</v>
      </c>
      <c r="E734" s="110">
        <v>1.278753600952829</v>
      </c>
      <c r="F734" s="88" t="s">
        <v>1791</v>
      </c>
      <c r="G734" s="88" t="b">
        <v>0</v>
      </c>
      <c r="H734" s="88" t="b">
        <v>0</v>
      </c>
      <c r="I734" s="88" t="b">
        <v>0</v>
      </c>
      <c r="J734" s="88" t="b">
        <v>0</v>
      </c>
      <c r="K734" s="88" t="b">
        <v>0</v>
      </c>
      <c r="L734" s="88" t="b">
        <v>0</v>
      </c>
    </row>
    <row r="735" spans="1:12" ht="15">
      <c r="A735" s="83" t="s">
        <v>2554</v>
      </c>
      <c r="B735" s="88" t="s">
        <v>2500</v>
      </c>
      <c r="C735" s="88">
        <v>3</v>
      </c>
      <c r="D735" s="110">
        <v>0</v>
      </c>
      <c r="E735" s="110">
        <v>1.278753600952829</v>
      </c>
      <c r="F735" s="88" t="s">
        <v>1791</v>
      </c>
      <c r="G735" s="88" t="b">
        <v>0</v>
      </c>
      <c r="H735" s="88" t="b">
        <v>0</v>
      </c>
      <c r="I735" s="88" t="b">
        <v>0</v>
      </c>
      <c r="J735" s="88" t="b">
        <v>0</v>
      </c>
      <c r="K735" s="88" t="b">
        <v>0</v>
      </c>
      <c r="L735" s="88" t="b">
        <v>0</v>
      </c>
    </row>
    <row r="736" spans="1:12" ht="15">
      <c r="A736" s="83" t="s">
        <v>2500</v>
      </c>
      <c r="B736" s="88" t="s">
        <v>2555</v>
      </c>
      <c r="C736" s="88">
        <v>3</v>
      </c>
      <c r="D736" s="110">
        <v>0</v>
      </c>
      <c r="E736" s="110">
        <v>1.278753600952829</v>
      </c>
      <c r="F736" s="88" t="s">
        <v>1791</v>
      </c>
      <c r="G736" s="88" t="b">
        <v>0</v>
      </c>
      <c r="H736" s="88" t="b">
        <v>0</v>
      </c>
      <c r="I736" s="88" t="b">
        <v>0</v>
      </c>
      <c r="J736" s="88" t="b">
        <v>0</v>
      </c>
      <c r="K736" s="88" t="b">
        <v>0</v>
      </c>
      <c r="L736" s="88" t="b">
        <v>0</v>
      </c>
    </row>
    <row r="737" spans="1:12" ht="15">
      <c r="A737" s="83" t="s">
        <v>2555</v>
      </c>
      <c r="B737" s="88" t="s">
        <v>2556</v>
      </c>
      <c r="C737" s="88">
        <v>3</v>
      </c>
      <c r="D737" s="110">
        <v>0</v>
      </c>
      <c r="E737" s="110">
        <v>1.278753600952829</v>
      </c>
      <c r="F737" s="88" t="s">
        <v>1791</v>
      </c>
      <c r="G737" s="88" t="b">
        <v>0</v>
      </c>
      <c r="H737" s="88" t="b">
        <v>0</v>
      </c>
      <c r="I737" s="88" t="b">
        <v>0</v>
      </c>
      <c r="J737" s="88" t="b">
        <v>0</v>
      </c>
      <c r="K737" s="88" t="b">
        <v>1</v>
      </c>
      <c r="L737" s="88" t="b">
        <v>0</v>
      </c>
    </row>
    <row r="738" spans="1:12" ht="15">
      <c r="A738" s="83" t="s">
        <v>2556</v>
      </c>
      <c r="B738" s="88" t="s">
        <v>2557</v>
      </c>
      <c r="C738" s="88">
        <v>3</v>
      </c>
      <c r="D738" s="110">
        <v>0</v>
      </c>
      <c r="E738" s="110">
        <v>1.278753600952829</v>
      </c>
      <c r="F738" s="88" t="s">
        <v>1791</v>
      </c>
      <c r="G738" s="88" t="b">
        <v>0</v>
      </c>
      <c r="H738" s="88" t="b">
        <v>1</v>
      </c>
      <c r="I738" s="88" t="b">
        <v>0</v>
      </c>
      <c r="J738" s="88" t="b">
        <v>0</v>
      </c>
      <c r="K738" s="88" t="b">
        <v>0</v>
      </c>
      <c r="L738" s="88" t="b">
        <v>0</v>
      </c>
    </row>
    <row r="739" spans="1:12" ht="15">
      <c r="A739" s="83" t="s">
        <v>2557</v>
      </c>
      <c r="B739" s="88" t="s">
        <v>2501</v>
      </c>
      <c r="C739" s="88">
        <v>3</v>
      </c>
      <c r="D739" s="110">
        <v>0</v>
      </c>
      <c r="E739" s="110">
        <v>1.278753600952829</v>
      </c>
      <c r="F739" s="88" t="s">
        <v>1791</v>
      </c>
      <c r="G739" s="88" t="b">
        <v>0</v>
      </c>
      <c r="H739" s="88" t="b">
        <v>0</v>
      </c>
      <c r="I739" s="88" t="b">
        <v>0</v>
      </c>
      <c r="J739" s="88" t="b">
        <v>0</v>
      </c>
      <c r="K739" s="88" t="b">
        <v>0</v>
      </c>
      <c r="L739" s="88" t="b">
        <v>0</v>
      </c>
    </row>
    <row r="740" spans="1:12" ht="15">
      <c r="A740" s="83" t="s">
        <v>2501</v>
      </c>
      <c r="B740" s="88" t="s">
        <v>2558</v>
      </c>
      <c r="C740" s="88">
        <v>3</v>
      </c>
      <c r="D740" s="110">
        <v>0</v>
      </c>
      <c r="E740" s="110">
        <v>1.278753600952829</v>
      </c>
      <c r="F740" s="88" t="s">
        <v>1791</v>
      </c>
      <c r="G740" s="88" t="b">
        <v>0</v>
      </c>
      <c r="H740" s="88" t="b">
        <v>0</v>
      </c>
      <c r="I740" s="88" t="b">
        <v>0</v>
      </c>
      <c r="J740" s="88" t="b">
        <v>0</v>
      </c>
      <c r="K740" s="88" t="b">
        <v>0</v>
      </c>
      <c r="L740" s="88" t="b">
        <v>0</v>
      </c>
    </row>
    <row r="741" spans="1:12" ht="15">
      <c r="A741" s="83" t="s">
        <v>2558</v>
      </c>
      <c r="B741" s="88" t="s">
        <v>2559</v>
      </c>
      <c r="C741" s="88">
        <v>3</v>
      </c>
      <c r="D741" s="110">
        <v>0</v>
      </c>
      <c r="E741" s="110">
        <v>1.278753600952829</v>
      </c>
      <c r="F741" s="88" t="s">
        <v>1791</v>
      </c>
      <c r="G741" s="88" t="b">
        <v>0</v>
      </c>
      <c r="H741" s="88" t="b">
        <v>0</v>
      </c>
      <c r="I741" s="88" t="b">
        <v>0</v>
      </c>
      <c r="J741" s="88" t="b">
        <v>0</v>
      </c>
      <c r="K741" s="88" t="b">
        <v>0</v>
      </c>
      <c r="L741" s="88" t="b">
        <v>0</v>
      </c>
    </row>
    <row r="742" spans="1:12" ht="15">
      <c r="A742" s="83" t="s">
        <v>2559</v>
      </c>
      <c r="B742" s="88" t="s">
        <v>2560</v>
      </c>
      <c r="C742" s="88">
        <v>3</v>
      </c>
      <c r="D742" s="110">
        <v>0</v>
      </c>
      <c r="E742" s="110">
        <v>1.278753600952829</v>
      </c>
      <c r="F742" s="88" t="s">
        <v>1791</v>
      </c>
      <c r="G742" s="88" t="b">
        <v>0</v>
      </c>
      <c r="H742" s="88" t="b">
        <v>0</v>
      </c>
      <c r="I742" s="88" t="b">
        <v>0</v>
      </c>
      <c r="J742" s="88" t="b">
        <v>0</v>
      </c>
      <c r="K742" s="88" t="b">
        <v>0</v>
      </c>
      <c r="L742" s="88" t="b">
        <v>0</v>
      </c>
    </row>
    <row r="743" spans="1:12" ht="15">
      <c r="A743" s="83" t="s">
        <v>2560</v>
      </c>
      <c r="B743" s="88" t="s">
        <v>2561</v>
      </c>
      <c r="C743" s="88">
        <v>3</v>
      </c>
      <c r="D743" s="110">
        <v>0</v>
      </c>
      <c r="E743" s="110">
        <v>1.278753600952829</v>
      </c>
      <c r="F743" s="88" t="s">
        <v>1791</v>
      </c>
      <c r="G743" s="88" t="b">
        <v>0</v>
      </c>
      <c r="H743" s="88" t="b">
        <v>0</v>
      </c>
      <c r="I743" s="88" t="b">
        <v>0</v>
      </c>
      <c r="J743" s="88" t="b">
        <v>1</v>
      </c>
      <c r="K743" s="88" t="b">
        <v>0</v>
      </c>
      <c r="L743" s="88" t="b">
        <v>0</v>
      </c>
    </row>
    <row r="744" spans="1:12" ht="15">
      <c r="A744" s="83" t="s">
        <v>2561</v>
      </c>
      <c r="B744" s="88" t="s">
        <v>2469</v>
      </c>
      <c r="C744" s="88">
        <v>3</v>
      </c>
      <c r="D744" s="110">
        <v>0</v>
      </c>
      <c r="E744" s="110">
        <v>1.278753600952829</v>
      </c>
      <c r="F744" s="88" t="s">
        <v>1791</v>
      </c>
      <c r="G744" s="88" t="b">
        <v>1</v>
      </c>
      <c r="H744" s="88" t="b">
        <v>0</v>
      </c>
      <c r="I744" s="88" t="b">
        <v>0</v>
      </c>
      <c r="J744" s="88" t="b">
        <v>0</v>
      </c>
      <c r="K744" s="88" t="b">
        <v>0</v>
      </c>
      <c r="L744" s="88" t="b">
        <v>0</v>
      </c>
    </row>
    <row r="745" spans="1:12" ht="15">
      <c r="A745" s="83" t="s">
        <v>2469</v>
      </c>
      <c r="B745" s="88" t="s">
        <v>2562</v>
      </c>
      <c r="C745" s="88">
        <v>3</v>
      </c>
      <c r="D745" s="110">
        <v>0</v>
      </c>
      <c r="E745" s="110">
        <v>1.278753600952829</v>
      </c>
      <c r="F745" s="88" t="s">
        <v>1791</v>
      </c>
      <c r="G745" s="88" t="b">
        <v>0</v>
      </c>
      <c r="H745" s="88" t="b">
        <v>0</v>
      </c>
      <c r="I745" s="88" t="b">
        <v>0</v>
      </c>
      <c r="J745" s="88" t="b">
        <v>0</v>
      </c>
      <c r="K745" s="88" t="b">
        <v>0</v>
      </c>
      <c r="L745" s="88" t="b">
        <v>0</v>
      </c>
    </row>
    <row r="746" spans="1:12" ht="15">
      <c r="A746" s="83" t="s">
        <v>2562</v>
      </c>
      <c r="B746" s="88" t="s">
        <v>1944</v>
      </c>
      <c r="C746" s="88">
        <v>3</v>
      </c>
      <c r="D746" s="110">
        <v>0</v>
      </c>
      <c r="E746" s="110">
        <v>1.278753600952829</v>
      </c>
      <c r="F746" s="88" t="s">
        <v>1791</v>
      </c>
      <c r="G746" s="88" t="b">
        <v>0</v>
      </c>
      <c r="H746" s="88" t="b">
        <v>0</v>
      </c>
      <c r="I746" s="88" t="b">
        <v>0</v>
      </c>
      <c r="J746" s="88" t="b">
        <v>0</v>
      </c>
      <c r="K746" s="88" t="b">
        <v>0</v>
      </c>
      <c r="L746" s="88" t="b">
        <v>0</v>
      </c>
    </row>
    <row r="747" spans="1:12" ht="15">
      <c r="A747" s="83" t="s">
        <v>1967</v>
      </c>
      <c r="B747" s="88" t="s">
        <v>1944</v>
      </c>
      <c r="C747" s="88">
        <v>4</v>
      </c>
      <c r="D747" s="110">
        <v>0</v>
      </c>
      <c r="E747" s="110">
        <v>0.7634279935629372</v>
      </c>
      <c r="F747" s="88" t="s">
        <v>1792</v>
      </c>
      <c r="G747" s="88" t="b">
        <v>0</v>
      </c>
      <c r="H747" s="88" t="b">
        <v>0</v>
      </c>
      <c r="I747" s="88" t="b">
        <v>0</v>
      </c>
      <c r="J747" s="88" t="b">
        <v>0</v>
      </c>
      <c r="K747" s="88" t="b">
        <v>0</v>
      </c>
      <c r="L747" s="88" t="b">
        <v>0</v>
      </c>
    </row>
    <row r="748" spans="1:12" ht="15">
      <c r="A748" s="83" t="s">
        <v>1965</v>
      </c>
      <c r="B748" s="88" t="s">
        <v>1944</v>
      </c>
      <c r="C748" s="88">
        <v>4</v>
      </c>
      <c r="D748" s="110">
        <v>0</v>
      </c>
      <c r="E748" s="110">
        <v>0.7634279935629372</v>
      </c>
      <c r="F748" s="88" t="s">
        <v>1792</v>
      </c>
      <c r="G748" s="88" t="b">
        <v>0</v>
      </c>
      <c r="H748" s="88" t="b">
        <v>0</v>
      </c>
      <c r="I748" s="88" t="b">
        <v>0</v>
      </c>
      <c r="J748" s="88" t="b">
        <v>0</v>
      </c>
      <c r="K748" s="88" t="b">
        <v>0</v>
      </c>
      <c r="L748" s="88" t="b">
        <v>0</v>
      </c>
    </row>
    <row r="749" spans="1:12" ht="15">
      <c r="A749" s="83" t="s">
        <v>2700</v>
      </c>
      <c r="B749" s="88" t="s">
        <v>1967</v>
      </c>
      <c r="C749" s="88">
        <v>2</v>
      </c>
      <c r="D749" s="110">
        <v>0</v>
      </c>
      <c r="E749" s="110">
        <v>1.161368002234975</v>
      </c>
      <c r="F749" s="88" t="s">
        <v>1792</v>
      </c>
      <c r="G749" s="88" t="b">
        <v>0</v>
      </c>
      <c r="H749" s="88" t="b">
        <v>0</v>
      </c>
      <c r="I749" s="88" t="b">
        <v>0</v>
      </c>
      <c r="J749" s="88" t="b">
        <v>0</v>
      </c>
      <c r="K749" s="88" t="b">
        <v>0</v>
      </c>
      <c r="L749" s="88" t="b">
        <v>0</v>
      </c>
    </row>
    <row r="750" spans="1:12" ht="15">
      <c r="A750" s="83" t="s">
        <v>1944</v>
      </c>
      <c r="B750" s="88" t="s">
        <v>2433</v>
      </c>
      <c r="C750" s="88">
        <v>2</v>
      </c>
      <c r="D750" s="110">
        <v>0</v>
      </c>
      <c r="E750" s="110">
        <v>0.7634279935629372</v>
      </c>
      <c r="F750" s="88" t="s">
        <v>1792</v>
      </c>
      <c r="G750" s="88" t="b">
        <v>0</v>
      </c>
      <c r="H750" s="88" t="b">
        <v>0</v>
      </c>
      <c r="I750" s="88" t="b">
        <v>0</v>
      </c>
      <c r="J750" s="88" t="b">
        <v>0</v>
      </c>
      <c r="K750" s="88" t="b">
        <v>0</v>
      </c>
      <c r="L750" s="88" t="b">
        <v>0</v>
      </c>
    </row>
    <row r="751" spans="1:12" ht="15">
      <c r="A751" s="83" t="s">
        <v>2433</v>
      </c>
      <c r="B751" s="88" t="s">
        <v>2457</v>
      </c>
      <c r="C751" s="88">
        <v>2</v>
      </c>
      <c r="D751" s="110">
        <v>0</v>
      </c>
      <c r="E751" s="110">
        <v>1.462397997898956</v>
      </c>
      <c r="F751" s="88" t="s">
        <v>1792</v>
      </c>
      <c r="G751" s="88" t="b">
        <v>0</v>
      </c>
      <c r="H751" s="88" t="b">
        <v>0</v>
      </c>
      <c r="I751" s="88" t="b">
        <v>0</v>
      </c>
      <c r="J751" s="88" t="b">
        <v>0</v>
      </c>
      <c r="K751" s="88" t="b">
        <v>0</v>
      </c>
      <c r="L751" s="88" t="b">
        <v>0</v>
      </c>
    </row>
    <row r="752" spans="1:12" ht="15">
      <c r="A752" s="83" t="s">
        <v>2457</v>
      </c>
      <c r="B752" s="88" t="s">
        <v>367</v>
      </c>
      <c r="C752" s="88">
        <v>2</v>
      </c>
      <c r="D752" s="110">
        <v>0</v>
      </c>
      <c r="E752" s="110">
        <v>1.462397997898956</v>
      </c>
      <c r="F752" s="88" t="s">
        <v>1792</v>
      </c>
      <c r="G752" s="88" t="b">
        <v>0</v>
      </c>
      <c r="H752" s="88" t="b">
        <v>0</v>
      </c>
      <c r="I752" s="88" t="b">
        <v>0</v>
      </c>
      <c r="J752" s="88" t="b">
        <v>0</v>
      </c>
      <c r="K752" s="88" t="b">
        <v>0</v>
      </c>
      <c r="L752" s="88" t="b">
        <v>0</v>
      </c>
    </row>
    <row r="753" spans="1:12" ht="15">
      <c r="A753" s="83" t="s">
        <v>367</v>
      </c>
      <c r="B753" s="88" t="s">
        <v>2701</v>
      </c>
      <c r="C753" s="88">
        <v>2</v>
      </c>
      <c r="D753" s="110">
        <v>0</v>
      </c>
      <c r="E753" s="110">
        <v>1.462397997898956</v>
      </c>
      <c r="F753" s="88" t="s">
        <v>1792</v>
      </c>
      <c r="G753" s="88" t="b">
        <v>0</v>
      </c>
      <c r="H753" s="88" t="b">
        <v>0</v>
      </c>
      <c r="I753" s="88" t="b">
        <v>0</v>
      </c>
      <c r="J753" s="88" t="b">
        <v>0</v>
      </c>
      <c r="K753" s="88" t="b">
        <v>0</v>
      </c>
      <c r="L753" s="88" t="b">
        <v>0</v>
      </c>
    </row>
    <row r="754" spans="1:12" ht="15">
      <c r="A754" s="83" t="s">
        <v>2701</v>
      </c>
      <c r="B754" s="88" t="s">
        <v>1964</v>
      </c>
      <c r="C754" s="88">
        <v>2</v>
      </c>
      <c r="D754" s="110">
        <v>0</v>
      </c>
      <c r="E754" s="110">
        <v>1.462397997898956</v>
      </c>
      <c r="F754" s="88" t="s">
        <v>1792</v>
      </c>
      <c r="G754" s="88" t="b">
        <v>0</v>
      </c>
      <c r="H754" s="88" t="b">
        <v>0</v>
      </c>
      <c r="I754" s="88" t="b">
        <v>0</v>
      </c>
      <c r="J754" s="88" t="b">
        <v>0</v>
      </c>
      <c r="K754" s="88" t="b">
        <v>0</v>
      </c>
      <c r="L754" s="88" t="b">
        <v>0</v>
      </c>
    </row>
    <row r="755" spans="1:12" ht="15">
      <c r="A755" s="83" t="s">
        <v>1964</v>
      </c>
      <c r="B755" s="88" t="s">
        <v>1965</v>
      </c>
      <c r="C755" s="88">
        <v>2</v>
      </c>
      <c r="D755" s="110">
        <v>0</v>
      </c>
      <c r="E755" s="110">
        <v>1.161368002234975</v>
      </c>
      <c r="F755" s="88" t="s">
        <v>1792</v>
      </c>
      <c r="G755" s="88" t="b">
        <v>0</v>
      </c>
      <c r="H755" s="88" t="b">
        <v>0</v>
      </c>
      <c r="I755" s="88" t="b">
        <v>0</v>
      </c>
      <c r="J755" s="88" t="b">
        <v>0</v>
      </c>
      <c r="K755" s="88" t="b">
        <v>0</v>
      </c>
      <c r="L755" s="88" t="b">
        <v>0</v>
      </c>
    </row>
    <row r="756" spans="1:12" ht="15">
      <c r="A756" s="83" t="s">
        <v>1944</v>
      </c>
      <c r="B756" s="88" t="s">
        <v>2434</v>
      </c>
      <c r="C756" s="88">
        <v>2</v>
      </c>
      <c r="D756" s="110">
        <v>0</v>
      </c>
      <c r="E756" s="110">
        <v>0.7634279935629372</v>
      </c>
      <c r="F756" s="88" t="s">
        <v>1792</v>
      </c>
      <c r="G756" s="88" t="b">
        <v>0</v>
      </c>
      <c r="H756" s="88" t="b">
        <v>0</v>
      </c>
      <c r="I756" s="88" t="b">
        <v>0</v>
      </c>
      <c r="J756" s="88" t="b">
        <v>0</v>
      </c>
      <c r="K756" s="88" t="b">
        <v>0</v>
      </c>
      <c r="L756" s="88" t="b">
        <v>0</v>
      </c>
    </row>
    <row r="757" spans="1:12" ht="15">
      <c r="A757" s="83" t="s">
        <v>2434</v>
      </c>
      <c r="B757" s="88" t="s">
        <v>2493</v>
      </c>
      <c r="C757" s="88">
        <v>2</v>
      </c>
      <c r="D757" s="110">
        <v>0</v>
      </c>
      <c r="E757" s="110">
        <v>1.462397997898956</v>
      </c>
      <c r="F757" s="88" t="s">
        <v>1792</v>
      </c>
      <c r="G757" s="88" t="b">
        <v>0</v>
      </c>
      <c r="H757" s="88" t="b">
        <v>0</v>
      </c>
      <c r="I757" s="88" t="b">
        <v>0</v>
      </c>
      <c r="J757" s="88" t="b">
        <v>0</v>
      </c>
      <c r="K757" s="88" t="b">
        <v>0</v>
      </c>
      <c r="L757" s="88" t="b">
        <v>0</v>
      </c>
    </row>
    <row r="758" spans="1:12" ht="15">
      <c r="A758" s="83" t="s">
        <v>2493</v>
      </c>
      <c r="B758" s="88" t="s">
        <v>2702</v>
      </c>
      <c r="C758" s="88">
        <v>2</v>
      </c>
      <c r="D758" s="110">
        <v>0</v>
      </c>
      <c r="E758" s="110">
        <v>1.462397997898956</v>
      </c>
      <c r="F758" s="88" t="s">
        <v>1792</v>
      </c>
      <c r="G758" s="88" t="b">
        <v>0</v>
      </c>
      <c r="H758" s="88" t="b">
        <v>0</v>
      </c>
      <c r="I758" s="88" t="b">
        <v>0</v>
      </c>
      <c r="J758" s="88" t="b">
        <v>0</v>
      </c>
      <c r="K758" s="88" t="b">
        <v>0</v>
      </c>
      <c r="L758" s="88" t="b">
        <v>0</v>
      </c>
    </row>
    <row r="759" spans="1:12" ht="15">
      <c r="A759" s="83" t="s">
        <v>2702</v>
      </c>
      <c r="B759" s="88" t="s">
        <v>2703</v>
      </c>
      <c r="C759" s="88">
        <v>2</v>
      </c>
      <c r="D759" s="110">
        <v>0</v>
      </c>
      <c r="E759" s="110">
        <v>1.462397997898956</v>
      </c>
      <c r="F759" s="88" t="s">
        <v>1792</v>
      </c>
      <c r="G759" s="88" t="b">
        <v>0</v>
      </c>
      <c r="H759" s="88" t="b">
        <v>0</v>
      </c>
      <c r="I759" s="88" t="b">
        <v>0</v>
      </c>
      <c r="J759" s="88" t="b">
        <v>0</v>
      </c>
      <c r="K759" s="88" t="b">
        <v>0</v>
      </c>
      <c r="L759" s="88" t="b">
        <v>0</v>
      </c>
    </row>
    <row r="760" spans="1:12" ht="15">
      <c r="A760" s="83" t="s">
        <v>2703</v>
      </c>
      <c r="B760" s="88" t="s">
        <v>2497</v>
      </c>
      <c r="C760" s="88">
        <v>2</v>
      </c>
      <c r="D760" s="110">
        <v>0</v>
      </c>
      <c r="E760" s="110">
        <v>1.462397997898956</v>
      </c>
      <c r="F760" s="88" t="s">
        <v>1792</v>
      </c>
      <c r="G760" s="88" t="b">
        <v>0</v>
      </c>
      <c r="H760" s="88" t="b">
        <v>0</v>
      </c>
      <c r="I760" s="88" t="b">
        <v>0</v>
      </c>
      <c r="J760" s="88" t="b">
        <v>0</v>
      </c>
      <c r="K760" s="88" t="b">
        <v>0</v>
      </c>
      <c r="L760" s="88" t="b">
        <v>0</v>
      </c>
    </row>
    <row r="761" spans="1:12" ht="15">
      <c r="A761" s="83" t="s">
        <v>2497</v>
      </c>
      <c r="B761" s="88" t="s">
        <v>2471</v>
      </c>
      <c r="C761" s="88">
        <v>2</v>
      </c>
      <c r="D761" s="110">
        <v>0</v>
      </c>
      <c r="E761" s="110">
        <v>1.462397997898956</v>
      </c>
      <c r="F761" s="88" t="s">
        <v>1792</v>
      </c>
      <c r="G761" s="88" t="b">
        <v>0</v>
      </c>
      <c r="H761" s="88" t="b">
        <v>0</v>
      </c>
      <c r="I761" s="88" t="b">
        <v>0</v>
      </c>
      <c r="J761" s="88" t="b">
        <v>0</v>
      </c>
      <c r="K761" s="88" t="b">
        <v>0</v>
      </c>
      <c r="L761" s="88" t="b">
        <v>0</v>
      </c>
    </row>
    <row r="762" spans="1:12" ht="15">
      <c r="A762" s="83" t="s">
        <v>2471</v>
      </c>
      <c r="B762" s="88" t="s">
        <v>2546</v>
      </c>
      <c r="C762" s="88">
        <v>2</v>
      </c>
      <c r="D762" s="110">
        <v>0</v>
      </c>
      <c r="E762" s="110">
        <v>1.462397997898956</v>
      </c>
      <c r="F762" s="88" t="s">
        <v>1792</v>
      </c>
      <c r="G762" s="88" t="b">
        <v>0</v>
      </c>
      <c r="H762" s="88" t="b">
        <v>0</v>
      </c>
      <c r="I762" s="88" t="b">
        <v>0</v>
      </c>
      <c r="J762" s="88" t="b">
        <v>0</v>
      </c>
      <c r="K762" s="88" t="b">
        <v>0</v>
      </c>
      <c r="L762" s="88" t="b">
        <v>0</v>
      </c>
    </row>
    <row r="763" spans="1:12" ht="15">
      <c r="A763" s="83" t="s">
        <v>2546</v>
      </c>
      <c r="B763" s="88" t="s">
        <v>1944</v>
      </c>
      <c r="C763" s="88">
        <v>2</v>
      </c>
      <c r="D763" s="110">
        <v>0</v>
      </c>
      <c r="E763" s="110">
        <v>0.7634279935629372</v>
      </c>
      <c r="F763" s="88" t="s">
        <v>1792</v>
      </c>
      <c r="G763" s="88" t="b">
        <v>0</v>
      </c>
      <c r="H763" s="88" t="b">
        <v>0</v>
      </c>
      <c r="I763" s="88" t="b">
        <v>0</v>
      </c>
      <c r="J763" s="88" t="b">
        <v>0</v>
      </c>
      <c r="K763" s="88" t="b">
        <v>0</v>
      </c>
      <c r="L763" s="88" t="b">
        <v>0</v>
      </c>
    </row>
    <row r="764" spans="1:12" ht="15">
      <c r="A764" s="83" t="s">
        <v>1944</v>
      </c>
      <c r="B764" s="88" t="s">
        <v>2704</v>
      </c>
      <c r="C764" s="88">
        <v>2</v>
      </c>
      <c r="D764" s="110">
        <v>0</v>
      </c>
      <c r="E764" s="110">
        <v>0.7634279935629372</v>
      </c>
      <c r="F764" s="88" t="s">
        <v>1792</v>
      </c>
      <c r="G764" s="88" t="b">
        <v>0</v>
      </c>
      <c r="H764" s="88" t="b">
        <v>0</v>
      </c>
      <c r="I764" s="88" t="b">
        <v>0</v>
      </c>
      <c r="J764" s="88" t="b">
        <v>0</v>
      </c>
      <c r="K764" s="88" t="b">
        <v>0</v>
      </c>
      <c r="L764" s="88" t="b">
        <v>0</v>
      </c>
    </row>
    <row r="765" spans="1:12" ht="15">
      <c r="A765" s="83" t="s">
        <v>2704</v>
      </c>
      <c r="B765" s="88" t="s">
        <v>2705</v>
      </c>
      <c r="C765" s="88">
        <v>2</v>
      </c>
      <c r="D765" s="110">
        <v>0</v>
      </c>
      <c r="E765" s="110">
        <v>1.462397997898956</v>
      </c>
      <c r="F765" s="88" t="s">
        <v>1792</v>
      </c>
      <c r="G765" s="88" t="b">
        <v>0</v>
      </c>
      <c r="H765" s="88" t="b">
        <v>0</v>
      </c>
      <c r="I765" s="88" t="b">
        <v>0</v>
      </c>
      <c r="J765" s="88" t="b">
        <v>0</v>
      </c>
      <c r="K765" s="88" t="b">
        <v>0</v>
      </c>
      <c r="L765" s="88" t="b">
        <v>0</v>
      </c>
    </row>
    <row r="766" spans="1:12" ht="15">
      <c r="A766" s="83" t="s">
        <v>2705</v>
      </c>
      <c r="B766" s="88" t="s">
        <v>1967</v>
      </c>
      <c r="C766" s="88">
        <v>2</v>
      </c>
      <c r="D766" s="110">
        <v>0</v>
      </c>
      <c r="E766" s="110">
        <v>1.161368002234975</v>
      </c>
      <c r="F766" s="88" t="s">
        <v>1792</v>
      </c>
      <c r="G766" s="88" t="b">
        <v>0</v>
      </c>
      <c r="H766" s="88" t="b">
        <v>0</v>
      </c>
      <c r="I766" s="88" t="b">
        <v>0</v>
      </c>
      <c r="J766" s="88" t="b">
        <v>0</v>
      </c>
      <c r="K766" s="88" t="b">
        <v>0</v>
      </c>
      <c r="L766" s="88" t="b">
        <v>0</v>
      </c>
    </row>
    <row r="767" spans="1:12" ht="15">
      <c r="A767" s="83" t="s">
        <v>1944</v>
      </c>
      <c r="B767" s="88" t="s">
        <v>2706</v>
      </c>
      <c r="C767" s="88">
        <v>2</v>
      </c>
      <c r="D767" s="110">
        <v>0</v>
      </c>
      <c r="E767" s="110">
        <v>0.7634279935629372</v>
      </c>
      <c r="F767" s="88" t="s">
        <v>1792</v>
      </c>
      <c r="G767" s="88" t="b">
        <v>0</v>
      </c>
      <c r="H767" s="88" t="b">
        <v>0</v>
      </c>
      <c r="I767" s="88" t="b">
        <v>0</v>
      </c>
      <c r="J767" s="88" t="b">
        <v>0</v>
      </c>
      <c r="K767" s="88" t="b">
        <v>0</v>
      </c>
      <c r="L767" s="88" t="b">
        <v>0</v>
      </c>
    </row>
    <row r="768" spans="1:12" ht="15">
      <c r="A768" s="83" t="s">
        <v>2706</v>
      </c>
      <c r="B768" s="88" t="s">
        <v>2707</v>
      </c>
      <c r="C768" s="88">
        <v>2</v>
      </c>
      <c r="D768" s="110">
        <v>0</v>
      </c>
      <c r="E768" s="110">
        <v>1.462397997898956</v>
      </c>
      <c r="F768" s="88" t="s">
        <v>1792</v>
      </c>
      <c r="G768" s="88" t="b">
        <v>0</v>
      </c>
      <c r="H768" s="88" t="b">
        <v>0</v>
      </c>
      <c r="I768" s="88" t="b">
        <v>0</v>
      </c>
      <c r="J768" s="88" t="b">
        <v>1</v>
      </c>
      <c r="K768" s="88" t="b">
        <v>0</v>
      </c>
      <c r="L768" s="88" t="b">
        <v>0</v>
      </c>
    </row>
    <row r="769" spans="1:12" ht="15">
      <c r="A769" s="83" t="s">
        <v>2707</v>
      </c>
      <c r="B769" s="88" t="s">
        <v>2708</v>
      </c>
      <c r="C769" s="88">
        <v>2</v>
      </c>
      <c r="D769" s="110">
        <v>0</v>
      </c>
      <c r="E769" s="110">
        <v>1.462397997898956</v>
      </c>
      <c r="F769" s="88" t="s">
        <v>1792</v>
      </c>
      <c r="G769" s="88" t="b">
        <v>1</v>
      </c>
      <c r="H769" s="88" t="b">
        <v>0</v>
      </c>
      <c r="I769" s="88" t="b">
        <v>0</v>
      </c>
      <c r="J769" s="88" t="b">
        <v>0</v>
      </c>
      <c r="K769" s="88" t="b">
        <v>0</v>
      </c>
      <c r="L769" s="88" t="b">
        <v>0</v>
      </c>
    </row>
    <row r="770" spans="1:12" ht="15">
      <c r="A770" s="83" t="s">
        <v>2708</v>
      </c>
      <c r="B770" s="88" t="s">
        <v>2548</v>
      </c>
      <c r="C770" s="88">
        <v>2</v>
      </c>
      <c r="D770" s="110">
        <v>0</v>
      </c>
      <c r="E770" s="110">
        <v>1.462397997898956</v>
      </c>
      <c r="F770" s="88" t="s">
        <v>1792</v>
      </c>
      <c r="G770" s="88" t="b">
        <v>0</v>
      </c>
      <c r="H770" s="88" t="b">
        <v>0</v>
      </c>
      <c r="I770" s="88" t="b">
        <v>0</v>
      </c>
      <c r="J770" s="88" t="b">
        <v>0</v>
      </c>
      <c r="K770" s="88" t="b">
        <v>0</v>
      </c>
      <c r="L770" s="88" t="b">
        <v>0</v>
      </c>
    </row>
    <row r="771" spans="1:12" ht="15">
      <c r="A771" s="83" t="s">
        <v>2548</v>
      </c>
      <c r="B771" s="88" t="s">
        <v>1971</v>
      </c>
      <c r="C771" s="88">
        <v>2</v>
      </c>
      <c r="D771" s="110">
        <v>0</v>
      </c>
      <c r="E771" s="110">
        <v>1.462397997898956</v>
      </c>
      <c r="F771" s="88" t="s">
        <v>1792</v>
      </c>
      <c r="G771" s="88" t="b">
        <v>0</v>
      </c>
      <c r="H771" s="88" t="b">
        <v>0</v>
      </c>
      <c r="I771" s="88" t="b">
        <v>0</v>
      </c>
      <c r="J771" s="88" t="b">
        <v>0</v>
      </c>
      <c r="K771" s="88" t="b">
        <v>0</v>
      </c>
      <c r="L771" s="88" t="b">
        <v>0</v>
      </c>
    </row>
    <row r="772" spans="1:12" ht="15">
      <c r="A772" s="83" t="s">
        <v>1971</v>
      </c>
      <c r="B772" s="88" t="s">
        <v>1965</v>
      </c>
      <c r="C772" s="88">
        <v>2</v>
      </c>
      <c r="D772" s="110">
        <v>0</v>
      </c>
      <c r="E772" s="110">
        <v>1.161368002234975</v>
      </c>
      <c r="F772" s="88" t="s">
        <v>1792</v>
      </c>
      <c r="G772" s="88" t="b">
        <v>0</v>
      </c>
      <c r="H772" s="88" t="b">
        <v>0</v>
      </c>
      <c r="I772" s="88" t="b">
        <v>0</v>
      </c>
      <c r="J772" s="88" t="b">
        <v>0</v>
      </c>
      <c r="K772" s="88" t="b">
        <v>0</v>
      </c>
      <c r="L772" s="88" t="b">
        <v>0</v>
      </c>
    </row>
    <row r="773" spans="1:12" ht="15">
      <c r="A773" s="83" t="s">
        <v>1944</v>
      </c>
      <c r="B773" s="88" t="s">
        <v>1968</v>
      </c>
      <c r="C773" s="88">
        <v>2</v>
      </c>
      <c r="D773" s="110">
        <v>0</v>
      </c>
      <c r="E773" s="110">
        <v>0.7634279935629372</v>
      </c>
      <c r="F773" s="88" t="s">
        <v>1792</v>
      </c>
      <c r="G773" s="88" t="b">
        <v>0</v>
      </c>
      <c r="H773" s="88" t="b">
        <v>0</v>
      </c>
      <c r="I773" s="88" t="b">
        <v>0</v>
      </c>
      <c r="J773" s="88" t="b">
        <v>0</v>
      </c>
      <c r="K773" s="88" t="b">
        <v>0</v>
      </c>
      <c r="L773" s="88" t="b">
        <v>0</v>
      </c>
    </row>
    <row r="774" spans="1:12" ht="15">
      <c r="A774" s="83" t="s">
        <v>1964</v>
      </c>
      <c r="B774" s="88" t="s">
        <v>1965</v>
      </c>
      <c r="C774" s="88">
        <v>4</v>
      </c>
      <c r="D774" s="110">
        <v>0</v>
      </c>
      <c r="E774" s="110">
        <v>0.9731278535996987</v>
      </c>
      <c r="F774" s="88" t="s">
        <v>1794</v>
      </c>
      <c r="G774" s="88" t="b">
        <v>0</v>
      </c>
      <c r="H774" s="88" t="b">
        <v>0</v>
      </c>
      <c r="I774" s="88" t="b">
        <v>0</v>
      </c>
      <c r="J774" s="88" t="b">
        <v>0</v>
      </c>
      <c r="K774" s="88" t="b">
        <v>0</v>
      </c>
      <c r="L774" s="88" t="b">
        <v>0</v>
      </c>
    </row>
    <row r="775" spans="1:12" ht="15">
      <c r="A775" s="83" t="s">
        <v>1965</v>
      </c>
      <c r="B775" s="88" t="s">
        <v>1944</v>
      </c>
      <c r="C775" s="88">
        <v>4</v>
      </c>
      <c r="D775" s="110">
        <v>0</v>
      </c>
      <c r="E775" s="110">
        <v>1.1949766032160551</v>
      </c>
      <c r="F775" s="88" t="s">
        <v>1794</v>
      </c>
      <c r="G775" s="88" t="b">
        <v>0</v>
      </c>
      <c r="H775" s="88" t="b">
        <v>0</v>
      </c>
      <c r="I775" s="88" t="b">
        <v>0</v>
      </c>
      <c r="J775" s="88" t="b">
        <v>0</v>
      </c>
      <c r="K775" s="88" t="b">
        <v>0</v>
      </c>
      <c r="L775" s="88" t="b">
        <v>0</v>
      </c>
    </row>
    <row r="776" spans="1:12" ht="15">
      <c r="A776" s="83" t="s">
        <v>2504</v>
      </c>
      <c r="B776" s="88" t="s">
        <v>2620</v>
      </c>
      <c r="C776" s="88">
        <v>2</v>
      </c>
      <c r="D776" s="110">
        <v>0.006143469299264922</v>
      </c>
      <c r="E776" s="110">
        <v>1.6720978579357175</v>
      </c>
      <c r="F776" s="88" t="s">
        <v>1794</v>
      </c>
      <c r="G776" s="88" t="b">
        <v>0</v>
      </c>
      <c r="H776" s="88" t="b">
        <v>0</v>
      </c>
      <c r="I776" s="88" t="b">
        <v>0</v>
      </c>
      <c r="J776" s="88" t="b">
        <v>1</v>
      </c>
      <c r="K776" s="88" t="b">
        <v>0</v>
      </c>
      <c r="L776" s="88" t="b">
        <v>0</v>
      </c>
    </row>
    <row r="777" spans="1:12" ht="15">
      <c r="A777" s="83" t="s">
        <v>2620</v>
      </c>
      <c r="B777" s="88" t="s">
        <v>2621</v>
      </c>
      <c r="C777" s="88">
        <v>2</v>
      </c>
      <c r="D777" s="110">
        <v>0.006143469299264922</v>
      </c>
      <c r="E777" s="110">
        <v>1.6720978579357175</v>
      </c>
      <c r="F777" s="88" t="s">
        <v>1794</v>
      </c>
      <c r="G777" s="88" t="b">
        <v>1</v>
      </c>
      <c r="H777" s="88" t="b">
        <v>0</v>
      </c>
      <c r="I777" s="88" t="b">
        <v>0</v>
      </c>
      <c r="J777" s="88" t="b">
        <v>0</v>
      </c>
      <c r="K777" s="88" t="b">
        <v>0</v>
      </c>
      <c r="L777" s="88" t="b">
        <v>0</v>
      </c>
    </row>
    <row r="778" spans="1:12" ht="15">
      <c r="A778" s="83" t="s">
        <v>2621</v>
      </c>
      <c r="B778" s="88" t="s">
        <v>2622</v>
      </c>
      <c r="C778" s="88">
        <v>2</v>
      </c>
      <c r="D778" s="110">
        <v>0.006143469299264922</v>
      </c>
      <c r="E778" s="110">
        <v>1.6720978579357175</v>
      </c>
      <c r="F778" s="88" t="s">
        <v>1794</v>
      </c>
      <c r="G778" s="88" t="b">
        <v>0</v>
      </c>
      <c r="H778" s="88" t="b">
        <v>0</v>
      </c>
      <c r="I778" s="88" t="b">
        <v>0</v>
      </c>
      <c r="J778" s="88" t="b">
        <v>0</v>
      </c>
      <c r="K778" s="88" t="b">
        <v>0</v>
      </c>
      <c r="L778" s="88" t="b">
        <v>0</v>
      </c>
    </row>
    <row r="779" spans="1:12" ht="15">
      <c r="A779" s="83" t="s">
        <v>2622</v>
      </c>
      <c r="B779" s="88" t="s">
        <v>2623</v>
      </c>
      <c r="C779" s="88">
        <v>2</v>
      </c>
      <c r="D779" s="110">
        <v>0.006143469299264922</v>
      </c>
      <c r="E779" s="110">
        <v>1.6720978579357175</v>
      </c>
      <c r="F779" s="88" t="s">
        <v>1794</v>
      </c>
      <c r="G779" s="88" t="b">
        <v>0</v>
      </c>
      <c r="H779" s="88" t="b">
        <v>0</v>
      </c>
      <c r="I779" s="88" t="b">
        <v>0</v>
      </c>
      <c r="J779" s="88" t="b">
        <v>0</v>
      </c>
      <c r="K779" s="88" t="b">
        <v>0</v>
      </c>
      <c r="L779" s="88" t="b">
        <v>0</v>
      </c>
    </row>
    <row r="780" spans="1:12" ht="15">
      <c r="A780" s="83" t="s">
        <v>2623</v>
      </c>
      <c r="B780" s="88" t="s">
        <v>2470</v>
      </c>
      <c r="C780" s="88">
        <v>2</v>
      </c>
      <c r="D780" s="110">
        <v>0.006143469299264922</v>
      </c>
      <c r="E780" s="110">
        <v>1.6720978579357175</v>
      </c>
      <c r="F780" s="88" t="s">
        <v>1794</v>
      </c>
      <c r="G780" s="88" t="b">
        <v>0</v>
      </c>
      <c r="H780" s="88" t="b">
        <v>0</v>
      </c>
      <c r="I780" s="88" t="b">
        <v>0</v>
      </c>
      <c r="J780" s="88" t="b">
        <v>0</v>
      </c>
      <c r="K780" s="88" t="b">
        <v>0</v>
      </c>
      <c r="L780" s="88" t="b">
        <v>0</v>
      </c>
    </row>
    <row r="781" spans="1:12" ht="15">
      <c r="A781" s="83" t="s">
        <v>2470</v>
      </c>
      <c r="B781" s="88" t="s">
        <v>2624</v>
      </c>
      <c r="C781" s="88">
        <v>2</v>
      </c>
      <c r="D781" s="110">
        <v>0.006143469299264922</v>
      </c>
      <c r="E781" s="110">
        <v>1.6720978579357175</v>
      </c>
      <c r="F781" s="88" t="s">
        <v>1794</v>
      </c>
      <c r="G781" s="88" t="b">
        <v>0</v>
      </c>
      <c r="H781" s="88" t="b">
        <v>0</v>
      </c>
      <c r="I781" s="88" t="b">
        <v>0</v>
      </c>
      <c r="J781" s="88" t="b">
        <v>0</v>
      </c>
      <c r="K781" s="88" t="b">
        <v>0</v>
      </c>
      <c r="L781" s="88" t="b">
        <v>0</v>
      </c>
    </row>
    <row r="782" spans="1:12" ht="15">
      <c r="A782" s="83" t="s">
        <v>2624</v>
      </c>
      <c r="B782" s="88" t="s">
        <v>1966</v>
      </c>
      <c r="C782" s="88">
        <v>2</v>
      </c>
      <c r="D782" s="110">
        <v>0.006143469299264922</v>
      </c>
      <c r="E782" s="110">
        <v>1.6720978579357175</v>
      </c>
      <c r="F782" s="88" t="s">
        <v>1794</v>
      </c>
      <c r="G782" s="88" t="b">
        <v>0</v>
      </c>
      <c r="H782" s="88" t="b">
        <v>0</v>
      </c>
      <c r="I782" s="88" t="b">
        <v>0</v>
      </c>
      <c r="J782" s="88" t="b">
        <v>0</v>
      </c>
      <c r="K782" s="88" t="b">
        <v>0</v>
      </c>
      <c r="L782" s="88" t="b">
        <v>0</v>
      </c>
    </row>
    <row r="783" spans="1:12" ht="15">
      <c r="A783" s="83" t="s">
        <v>1966</v>
      </c>
      <c r="B783" s="88" t="s">
        <v>2625</v>
      </c>
      <c r="C783" s="88">
        <v>2</v>
      </c>
      <c r="D783" s="110">
        <v>0.006143469299264922</v>
      </c>
      <c r="E783" s="110">
        <v>1.6720978579357175</v>
      </c>
      <c r="F783" s="88" t="s">
        <v>1794</v>
      </c>
      <c r="G783" s="88" t="b">
        <v>0</v>
      </c>
      <c r="H783" s="88" t="b">
        <v>0</v>
      </c>
      <c r="I783" s="88" t="b">
        <v>0</v>
      </c>
      <c r="J783" s="88" t="b">
        <v>0</v>
      </c>
      <c r="K783" s="88" t="b">
        <v>0</v>
      </c>
      <c r="L783" s="88" t="b">
        <v>0</v>
      </c>
    </row>
    <row r="784" spans="1:12" ht="15">
      <c r="A784" s="83" t="s">
        <v>2625</v>
      </c>
      <c r="B784" s="88" t="s">
        <v>2626</v>
      </c>
      <c r="C784" s="88">
        <v>2</v>
      </c>
      <c r="D784" s="110">
        <v>0.006143469299264922</v>
      </c>
      <c r="E784" s="110">
        <v>1.6720978579357175</v>
      </c>
      <c r="F784" s="88" t="s">
        <v>1794</v>
      </c>
      <c r="G784" s="88" t="b">
        <v>0</v>
      </c>
      <c r="H784" s="88" t="b">
        <v>0</v>
      </c>
      <c r="I784" s="88" t="b">
        <v>0</v>
      </c>
      <c r="J784" s="88" t="b">
        <v>0</v>
      </c>
      <c r="K784" s="88" t="b">
        <v>0</v>
      </c>
      <c r="L784" s="88" t="b">
        <v>0</v>
      </c>
    </row>
    <row r="785" spans="1:12" ht="15">
      <c r="A785" s="83" t="s">
        <v>2626</v>
      </c>
      <c r="B785" s="88" t="s">
        <v>2627</v>
      </c>
      <c r="C785" s="88">
        <v>2</v>
      </c>
      <c r="D785" s="110">
        <v>0.006143469299264922</v>
      </c>
      <c r="E785" s="110">
        <v>1.6720978579357175</v>
      </c>
      <c r="F785" s="88" t="s">
        <v>1794</v>
      </c>
      <c r="G785" s="88" t="b">
        <v>0</v>
      </c>
      <c r="H785" s="88" t="b">
        <v>0</v>
      </c>
      <c r="I785" s="88" t="b">
        <v>0</v>
      </c>
      <c r="J785" s="88" t="b">
        <v>0</v>
      </c>
      <c r="K785" s="88" t="b">
        <v>0</v>
      </c>
      <c r="L785" s="88" t="b">
        <v>0</v>
      </c>
    </row>
    <row r="786" spans="1:12" ht="15">
      <c r="A786" s="83" t="s">
        <v>2627</v>
      </c>
      <c r="B786" s="88" t="s">
        <v>2434</v>
      </c>
      <c r="C786" s="88">
        <v>2</v>
      </c>
      <c r="D786" s="110">
        <v>0.006143469299264922</v>
      </c>
      <c r="E786" s="110">
        <v>1.1949766032160551</v>
      </c>
      <c r="F786" s="88" t="s">
        <v>1794</v>
      </c>
      <c r="G786" s="88" t="b">
        <v>0</v>
      </c>
      <c r="H786" s="88" t="b">
        <v>0</v>
      </c>
      <c r="I786" s="88" t="b">
        <v>0</v>
      </c>
      <c r="J786" s="88" t="b">
        <v>0</v>
      </c>
      <c r="K786" s="88" t="b">
        <v>0</v>
      </c>
      <c r="L786" s="88" t="b">
        <v>0</v>
      </c>
    </row>
    <row r="787" spans="1:12" ht="15">
      <c r="A787" s="83" t="s">
        <v>2434</v>
      </c>
      <c r="B787" s="88" t="s">
        <v>2503</v>
      </c>
      <c r="C787" s="88">
        <v>2</v>
      </c>
      <c r="D787" s="110">
        <v>0.006143469299264922</v>
      </c>
      <c r="E787" s="110">
        <v>1.1949766032160551</v>
      </c>
      <c r="F787" s="88" t="s">
        <v>1794</v>
      </c>
      <c r="G787" s="88" t="b">
        <v>0</v>
      </c>
      <c r="H787" s="88" t="b">
        <v>0</v>
      </c>
      <c r="I787" s="88" t="b">
        <v>0</v>
      </c>
      <c r="J787" s="88" t="b">
        <v>0</v>
      </c>
      <c r="K787" s="88" t="b">
        <v>0</v>
      </c>
      <c r="L787" s="88" t="b">
        <v>0</v>
      </c>
    </row>
    <row r="788" spans="1:12" ht="15">
      <c r="A788" s="83" t="s">
        <v>2503</v>
      </c>
      <c r="B788" s="88" t="s">
        <v>2628</v>
      </c>
      <c r="C788" s="88">
        <v>2</v>
      </c>
      <c r="D788" s="110">
        <v>0.006143469299264922</v>
      </c>
      <c r="E788" s="110">
        <v>1.6720978579357175</v>
      </c>
      <c r="F788" s="88" t="s">
        <v>1794</v>
      </c>
      <c r="G788" s="88" t="b">
        <v>0</v>
      </c>
      <c r="H788" s="88" t="b">
        <v>0</v>
      </c>
      <c r="I788" s="88" t="b">
        <v>0</v>
      </c>
      <c r="J788" s="88" t="b">
        <v>0</v>
      </c>
      <c r="K788" s="88" t="b">
        <v>0</v>
      </c>
      <c r="L788" s="88" t="b">
        <v>0</v>
      </c>
    </row>
    <row r="789" spans="1:12" ht="15">
      <c r="A789" s="83" t="s">
        <v>2628</v>
      </c>
      <c r="B789" s="88" t="s">
        <v>2629</v>
      </c>
      <c r="C789" s="88">
        <v>2</v>
      </c>
      <c r="D789" s="110">
        <v>0.006143469299264922</v>
      </c>
      <c r="E789" s="110">
        <v>1.6720978579357175</v>
      </c>
      <c r="F789" s="88" t="s">
        <v>1794</v>
      </c>
      <c r="G789" s="88" t="b">
        <v>0</v>
      </c>
      <c r="H789" s="88" t="b">
        <v>0</v>
      </c>
      <c r="I789" s="88" t="b">
        <v>0</v>
      </c>
      <c r="J789" s="88" t="b">
        <v>0</v>
      </c>
      <c r="K789" s="88" t="b">
        <v>0</v>
      </c>
      <c r="L789" s="88" t="b">
        <v>0</v>
      </c>
    </row>
    <row r="790" spans="1:12" ht="15">
      <c r="A790" s="83" t="s">
        <v>2629</v>
      </c>
      <c r="B790" s="88" t="s">
        <v>2630</v>
      </c>
      <c r="C790" s="88">
        <v>2</v>
      </c>
      <c r="D790" s="110">
        <v>0.006143469299264922</v>
      </c>
      <c r="E790" s="110">
        <v>1.6720978579357175</v>
      </c>
      <c r="F790" s="88" t="s">
        <v>1794</v>
      </c>
      <c r="G790" s="88" t="b">
        <v>0</v>
      </c>
      <c r="H790" s="88" t="b">
        <v>0</v>
      </c>
      <c r="I790" s="88" t="b">
        <v>0</v>
      </c>
      <c r="J790" s="88" t="b">
        <v>0</v>
      </c>
      <c r="K790" s="88" t="b">
        <v>0</v>
      </c>
      <c r="L790" s="88" t="b">
        <v>0</v>
      </c>
    </row>
    <row r="791" spans="1:12" ht="15">
      <c r="A791" s="83" t="s">
        <v>2630</v>
      </c>
      <c r="B791" s="88" t="s">
        <v>1964</v>
      </c>
      <c r="C791" s="88">
        <v>2</v>
      </c>
      <c r="D791" s="110">
        <v>0.006143469299264922</v>
      </c>
      <c r="E791" s="110">
        <v>1.070037866607755</v>
      </c>
      <c r="F791" s="88" t="s">
        <v>1794</v>
      </c>
      <c r="G791" s="88" t="b">
        <v>0</v>
      </c>
      <c r="H791" s="88" t="b">
        <v>0</v>
      </c>
      <c r="I791" s="88" t="b">
        <v>0</v>
      </c>
      <c r="J791" s="88" t="b">
        <v>0</v>
      </c>
      <c r="K791" s="88" t="b">
        <v>0</v>
      </c>
      <c r="L791" s="88" t="b">
        <v>0</v>
      </c>
    </row>
    <row r="792" spans="1:12" ht="15">
      <c r="A792" s="83" t="s">
        <v>1944</v>
      </c>
      <c r="B792" s="88" t="s">
        <v>2434</v>
      </c>
      <c r="C792" s="88">
        <v>2</v>
      </c>
      <c r="D792" s="110">
        <v>0.006143469299264922</v>
      </c>
      <c r="E792" s="110">
        <v>0.8939466075520739</v>
      </c>
      <c r="F792" s="88" t="s">
        <v>1794</v>
      </c>
      <c r="G792" s="88" t="b">
        <v>0</v>
      </c>
      <c r="H792" s="88" t="b">
        <v>0</v>
      </c>
      <c r="I792" s="88" t="b">
        <v>0</v>
      </c>
      <c r="J792" s="88" t="b">
        <v>0</v>
      </c>
      <c r="K792" s="88" t="b">
        <v>0</v>
      </c>
      <c r="L792" s="88" t="b">
        <v>0</v>
      </c>
    </row>
    <row r="793" spans="1:12" ht="15">
      <c r="A793" s="83" t="s">
        <v>2434</v>
      </c>
      <c r="B793" s="88" t="s">
        <v>2631</v>
      </c>
      <c r="C793" s="88">
        <v>2</v>
      </c>
      <c r="D793" s="110">
        <v>0.006143469299264922</v>
      </c>
      <c r="E793" s="110">
        <v>1.1949766032160551</v>
      </c>
      <c r="F793" s="88" t="s">
        <v>1794</v>
      </c>
      <c r="G793" s="88" t="b">
        <v>0</v>
      </c>
      <c r="H793" s="88" t="b">
        <v>0</v>
      </c>
      <c r="I793" s="88" t="b">
        <v>0</v>
      </c>
      <c r="J793" s="88" t="b">
        <v>0</v>
      </c>
      <c r="K793" s="88" t="b">
        <v>0</v>
      </c>
      <c r="L793" s="88" t="b">
        <v>0</v>
      </c>
    </row>
    <row r="794" spans="1:12" ht="15">
      <c r="A794" s="83" t="s">
        <v>2631</v>
      </c>
      <c r="B794" s="88" t="s">
        <v>2003</v>
      </c>
      <c r="C794" s="88">
        <v>2</v>
      </c>
      <c r="D794" s="110">
        <v>0.006143469299264922</v>
      </c>
      <c r="E794" s="110">
        <v>1.6720978579357175</v>
      </c>
      <c r="F794" s="88" t="s">
        <v>1794</v>
      </c>
      <c r="G794" s="88" t="b">
        <v>0</v>
      </c>
      <c r="H794" s="88" t="b">
        <v>0</v>
      </c>
      <c r="I794" s="88" t="b">
        <v>0</v>
      </c>
      <c r="J794" s="88" t="b">
        <v>0</v>
      </c>
      <c r="K794" s="88" t="b">
        <v>0</v>
      </c>
      <c r="L794" s="88" t="b">
        <v>0</v>
      </c>
    </row>
    <row r="795" spans="1:12" ht="15">
      <c r="A795" s="83" t="s">
        <v>2003</v>
      </c>
      <c r="B795" s="88" t="s">
        <v>2632</v>
      </c>
      <c r="C795" s="88">
        <v>2</v>
      </c>
      <c r="D795" s="110">
        <v>0.006143469299264922</v>
      </c>
      <c r="E795" s="110">
        <v>1.6720978579357175</v>
      </c>
      <c r="F795" s="88" t="s">
        <v>1794</v>
      </c>
      <c r="G795" s="88" t="b">
        <v>0</v>
      </c>
      <c r="H795" s="88" t="b">
        <v>0</v>
      </c>
      <c r="I795" s="88" t="b">
        <v>0</v>
      </c>
      <c r="J795" s="88" t="b">
        <v>1</v>
      </c>
      <c r="K795" s="88" t="b">
        <v>0</v>
      </c>
      <c r="L795" s="88" t="b">
        <v>0</v>
      </c>
    </row>
    <row r="796" spans="1:12" ht="15">
      <c r="A796" s="83" t="s">
        <v>2632</v>
      </c>
      <c r="B796" s="88" t="s">
        <v>2633</v>
      </c>
      <c r="C796" s="88">
        <v>2</v>
      </c>
      <c r="D796" s="110">
        <v>0.006143469299264922</v>
      </c>
      <c r="E796" s="110">
        <v>1.6720978579357175</v>
      </c>
      <c r="F796" s="88" t="s">
        <v>1794</v>
      </c>
      <c r="G796" s="88" t="b">
        <v>1</v>
      </c>
      <c r="H796" s="88" t="b">
        <v>0</v>
      </c>
      <c r="I796" s="88" t="b">
        <v>0</v>
      </c>
      <c r="J796" s="88" t="b">
        <v>0</v>
      </c>
      <c r="K796" s="88" t="b">
        <v>0</v>
      </c>
      <c r="L796" s="88" t="b">
        <v>0</v>
      </c>
    </row>
    <row r="797" spans="1:12" ht="15">
      <c r="A797" s="83" t="s">
        <v>2633</v>
      </c>
      <c r="B797" s="88" t="s">
        <v>2434</v>
      </c>
      <c r="C797" s="88">
        <v>2</v>
      </c>
      <c r="D797" s="110">
        <v>0.006143469299264922</v>
      </c>
      <c r="E797" s="110">
        <v>1.1949766032160551</v>
      </c>
      <c r="F797" s="88" t="s">
        <v>1794</v>
      </c>
      <c r="G797" s="88" t="b">
        <v>0</v>
      </c>
      <c r="H797" s="88" t="b">
        <v>0</v>
      </c>
      <c r="I797" s="88" t="b">
        <v>0</v>
      </c>
      <c r="J797" s="88" t="b">
        <v>0</v>
      </c>
      <c r="K797" s="88" t="b">
        <v>0</v>
      </c>
      <c r="L797" s="88" t="b">
        <v>0</v>
      </c>
    </row>
    <row r="798" spans="1:12" ht="15">
      <c r="A798" s="83" t="s">
        <v>2434</v>
      </c>
      <c r="B798" s="88" t="s">
        <v>1969</v>
      </c>
      <c r="C798" s="88">
        <v>2</v>
      </c>
      <c r="D798" s="110">
        <v>0.006143469299264922</v>
      </c>
      <c r="E798" s="110">
        <v>1.1949766032160551</v>
      </c>
      <c r="F798" s="88" t="s">
        <v>1794</v>
      </c>
      <c r="G798" s="88" t="b">
        <v>0</v>
      </c>
      <c r="H798" s="88" t="b">
        <v>0</v>
      </c>
      <c r="I798" s="88" t="b">
        <v>0</v>
      </c>
      <c r="J798" s="88" t="b">
        <v>0</v>
      </c>
      <c r="K798" s="88" t="b">
        <v>0</v>
      </c>
      <c r="L798" s="88" t="b">
        <v>0</v>
      </c>
    </row>
    <row r="799" spans="1:12" ht="15">
      <c r="A799" s="83" t="s">
        <v>1969</v>
      </c>
      <c r="B799" s="88" t="s">
        <v>2634</v>
      </c>
      <c r="C799" s="88">
        <v>2</v>
      </c>
      <c r="D799" s="110">
        <v>0.006143469299264922</v>
      </c>
      <c r="E799" s="110">
        <v>1.6720978579357175</v>
      </c>
      <c r="F799" s="88" t="s">
        <v>1794</v>
      </c>
      <c r="G799" s="88" t="b">
        <v>0</v>
      </c>
      <c r="H799" s="88" t="b">
        <v>0</v>
      </c>
      <c r="I799" s="88" t="b">
        <v>0</v>
      </c>
      <c r="J799" s="88" t="b">
        <v>0</v>
      </c>
      <c r="K799" s="88" t="b">
        <v>0</v>
      </c>
      <c r="L799" s="88" t="b">
        <v>0</v>
      </c>
    </row>
    <row r="800" spans="1:12" ht="15">
      <c r="A800" s="83" t="s">
        <v>2634</v>
      </c>
      <c r="B800" s="88" t="s">
        <v>2635</v>
      </c>
      <c r="C800" s="88">
        <v>2</v>
      </c>
      <c r="D800" s="110">
        <v>0.006143469299264922</v>
      </c>
      <c r="E800" s="110">
        <v>1.6720978579357175</v>
      </c>
      <c r="F800" s="88" t="s">
        <v>1794</v>
      </c>
      <c r="G800" s="88" t="b">
        <v>0</v>
      </c>
      <c r="H800" s="88" t="b">
        <v>0</v>
      </c>
      <c r="I800" s="88" t="b">
        <v>0</v>
      </c>
      <c r="J800" s="88" t="b">
        <v>0</v>
      </c>
      <c r="K800" s="88" t="b">
        <v>0</v>
      </c>
      <c r="L800" s="88" t="b">
        <v>0</v>
      </c>
    </row>
    <row r="801" spans="1:12" ht="15">
      <c r="A801" s="83" t="s">
        <v>1964</v>
      </c>
      <c r="B801" s="88" t="s">
        <v>2636</v>
      </c>
      <c r="C801" s="88">
        <v>2</v>
      </c>
      <c r="D801" s="110">
        <v>0.006143469299264922</v>
      </c>
      <c r="E801" s="110">
        <v>0.9731278535996987</v>
      </c>
      <c r="F801" s="88" t="s">
        <v>1794</v>
      </c>
      <c r="G801" s="88" t="b">
        <v>0</v>
      </c>
      <c r="H801" s="88" t="b">
        <v>0</v>
      </c>
      <c r="I801" s="88" t="b">
        <v>0</v>
      </c>
      <c r="J801" s="88" t="b">
        <v>0</v>
      </c>
      <c r="K801" s="88" t="b">
        <v>0</v>
      </c>
      <c r="L801" s="88" t="b">
        <v>0</v>
      </c>
    </row>
    <row r="802" spans="1:12" ht="15">
      <c r="A802" s="83" t="s">
        <v>2636</v>
      </c>
      <c r="B802" s="88" t="s">
        <v>1964</v>
      </c>
      <c r="C802" s="88">
        <v>2</v>
      </c>
      <c r="D802" s="110">
        <v>0.006143469299264922</v>
      </c>
      <c r="E802" s="110">
        <v>1.070037866607755</v>
      </c>
      <c r="F802" s="88" t="s">
        <v>1794</v>
      </c>
      <c r="G802" s="88" t="b">
        <v>0</v>
      </c>
      <c r="H802" s="88" t="b">
        <v>0</v>
      </c>
      <c r="I802" s="88" t="b">
        <v>0</v>
      </c>
      <c r="J802" s="88" t="b">
        <v>0</v>
      </c>
      <c r="K802" s="88" t="b">
        <v>0</v>
      </c>
      <c r="L802" s="88" t="b">
        <v>0</v>
      </c>
    </row>
    <row r="803" spans="1:12" ht="15">
      <c r="A803" s="83" t="s">
        <v>1964</v>
      </c>
      <c r="B803" s="88" t="s">
        <v>2637</v>
      </c>
      <c r="C803" s="88">
        <v>2</v>
      </c>
      <c r="D803" s="110">
        <v>0.006143469299264922</v>
      </c>
      <c r="E803" s="110">
        <v>0.9731278535996987</v>
      </c>
      <c r="F803" s="88" t="s">
        <v>1794</v>
      </c>
      <c r="G803" s="88" t="b">
        <v>0</v>
      </c>
      <c r="H803" s="88" t="b">
        <v>0</v>
      </c>
      <c r="I803" s="88" t="b">
        <v>0</v>
      </c>
      <c r="J803" s="88" t="b">
        <v>0</v>
      </c>
      <c r="K803" s="88" t="b">
        <v>0</v>
      </c>
      <c r="L803" s="88" t="b">
        <v>0</v>
      </c>
    </row>
    <row r="804" spans="1:12" ht="15">
      <c r="A804" s="83" t="s">
        <v>2637</v>
      </c>
      <c r="B804" s="88" t="s">
        <v>2638</v>
      </c>
      <c r="C804" s="88">
        <v>2</v>
      </c>
      <c r="D804" s="110">
        <v>0.006143469299264922</v>
      </c>
      <c r="E804" s="110">
        <v>1.6720978579357175</v>
      </c>
      <c r="F804" s="88" t="s">
        <v>1794</v>
      </c>
      <c r="G804" s="88" t="b">
        <v>0</v>
      </c>
      <c r="H804" s="88" t="b">
        <v>0</v>
      </c>
      <c r="I804" s="88" t="b">
        <v>0</v>
      </c>
      <c r="J804" s="88" t="b">
        <v>0</v>
      </c>
      <c r="K804" s="88" t="b">
        <v>0</v>
      </c>
      <c r="L804" s="88" t="b">
        <v>0</v>
      </c>
    </row>
    <row r="805" spans="1:12" ht="15">
      <c r="A805" s="83" t="s">
        <v>2638</v>
      </c>
      <c r="B805" s="88" t="s">
        <v>2436</v>
      </c>
      <c r="C805" s="88">
        <v>2</v>
      </c>
      <c r="D805" s="110">
        <v>0.006143469299264922</v>
      </c>
      <c r="E805" s="110">
        <v>1.6720978579357175</v>
      </c>
      <c r="F805" s="88" t="s">
        <v>1794</v>
      </c>
      <c r="G805" s="88" t="b">
        <v>0</v>
      </c>
      <c r="H805" s="88" t="b">
        <v>0</v>
      </c>
      <c r="I805" s="88" t="b">
        <v>0</v>
      </c>
      <c r="J805" s="88" t="b">
        <v>0</v>
      </c>
      <c r="K805" s="88" t="b">
        <v>0</v>
      </c>
      <c r="L805" s="88" t="b">
        <v>0</v>
      </c>
    </row>
    <row r="806" spans="1:12" ht="15">
      <c r="A806" s="83" t="s">
        <v>2436</v>
      </c>
      <c r="B806" s="88" t="s">
        <v>2639</v>
      </c>
      <c r="C806" s="88">
        <v>2</v>
      </c>
      <c r="D806" s="110">
        <v>0.006143469299264922</v>
      </c>
      <c r="E806" s="110">
        <v>1.6720978579357175</v>
      </c>
      <c r="F806" s="88" t="s">
        <v>1794</v>
      </c>
      <c r="G806" s="88" t="b">
        <v>0</v>
      </c>
      <c r="H806" s="88" t="b">
        <v>0</v>
      </c>
      <c r="I806" s="88" t="b">
        <v>0</v>
      </c>
      <c r="J806" s="88" t="b">
        <v>0</v>
      </c>
      <c r="K806" s="88" t="b">
        <v>0</v>
      </c>
      <c r="L806" s="88" t="b">
        <v>0</v>
      </c>
    </row>
    <row r="807" spans="1:12" ht="15">
      <c r="A807" s="83" t="s">
        <v>2639</v>
      </c>
      <c r="B807" s="88" t="s">
        <v>2640</v>
      </c>
      <c r="C807" s="88">
        <v>2</v>
      </c>
      <c r="D807" s="110">
        <v>0.006143469299264922</v>
      </c>
      <c r="E807" s="110">
        <v>1.6720978579357175</v>
      </c>
      <c r="F807" s="88" t="s">
        <v>1794</v>
      </c>
      <c r="G807" s="88" t="b">
        <v>0</v>
      </c>
      <c r="H807" s="88" t="b">
        <v>0</v>
      </c>
      <c r="I807" s="88" t="b">
        <v>0</v>
      </c>
      <c r="J807" s="88" t="b">
        <v>0</v>
      </c>
      <c r="K807" s="88" t="b">
        <v>0</v>
      </c>
      <c r="L807" s="88" t="b">
        <v>0</v>
      </c>
    </row>
    <row r="808" spans="1:12" ht="15">
      <c r="A808" s="83" t="s">
        <v>2640</v>
      </c>
      <c r="B808" s="88" t="s">
        <v>1979</v>
      </c>
      <c r="C808" s="88">
        <v>2</v>
      </c>
      <c r="D808" s="110">
        <v>0.006143469299264922</v>
      </c>
      <c r="E808" s="110">
        <v>1.6720978579357175</v>
      </c>
      <c r="F808" s="88" t="s">
        <v>1794</v>
      </c>
      <c r="G808" s="88" t="b">
        <v>0</v>
      </c>
      <c r="H808" s="88" t="b">
        <v>0</v>
      </c>
      <c r="I808" s="88" t="b">
        <v>0</v>
      </c>
      <c r="J808" s="88" t="b">
        <v>0</v>
      </c>
      <c r="K808" s="88" t="b">
        <v>0</v>
      </c>
      <c r="L808" s="88" t="b">
        <v>0</v>
      </c>
    </row>
    <row r="809" spans="1:12" ht="15">
      <c r="A809" s="83" t="s">
        <v>1979</v>
      </c>
      <c r="B809" s="88" t="s">
        <v>1980</v>
      </c>
      <c r="C809" s="88">
        <v>2</v>
      </c>
      <c r="D809" s="110">
        <v>0.006143469299264922</v>
      </c>
      <c r="E809" s="110">
        <v>1.6720978579357175</v>
      </c>
      <c r="F809" s="88" t="s">
        <v>1794</v>
      </c>
      <c r="G809" s="88" t="b">
        <v>0</v>
      </c>
      <c r="H809" s="88" t="b">
        <v>0</v>
      </c>
      <c r="I809" s="88" t="b">
        <v>0</v>
      </c>
      <c r="J809" s="88" t="b">
        <v>0</v>
      </c>
      <c r="K809" s="88" t="b">
        <v>0</v>
      </c>
      <c r="L809" s="88" t="b">
        <v>0</v>
      </c>
    </row>
    <row r="810" spans="1:12" ht="15">
      <c r="A810" s="83" t="s">
        <v>1980</v>
      </c>
      <c r="B810" s="88" t="s">
        <v>2641</v>
      </c>
      <c r="C810" s="88">
        <v>2</v>
      </c>
      <c r="D810" s="110">
        <v>0.006143469299264922</v>
      </c>
      <c r="E810" s="110">
        <v>1.6720978579357175</v>
      </c>
      <c r="F810" s="88" t="s">
        <v>1794</v>
      </c>
      <c r="G810" s="88" t="b">
        <v>0</v>
      </c>
      <c r="H810" s="88" t="b">
        <v>0</v>
      </c>
      <c r="I810" s="88" t="b">
        <v>0</v>
      </c>
      <c r="J810" s="88" t="b">
        <v>0</v>
      </c>
      <c r="K810" s="88" t="b">
        <v>0</v>
      </c>
      <c r="L810" s="88" t="b">
        <v>0</v>
      </c>
    </row>
    <row r="811" spans="1:12" ht="15">
      <c r="A811" s="83" t="s">
        <v>2641</v>
      </c>
      <c r="B811" s="88" t="s">
        <v>2642</v>
      </c>
      <c r="C811" s="88">
        <v>2</v>
      </c>
      <c r="D811" s="110">
        <v>0.006143469299264922</v>
      </c>
      <c r="E811" s="110">
        <v>1.6720978579357175</v>
      </c>
      <c r="F811" s="88" t="s">
        <v>1794</v>
      </c>
      <c r="G811" s="88" t="b">
        <v>0</v>
      </c>
      <c r="H811" s="88" t="b">
        <v>0</v>
      </c>
      <c r="I811" s="88" t="b">
        <v>0</v>
      </c>
      <c r="J811" s="88" t="b">
        <v>0</v>
      </c>
      <c r="K811" s="88" t="b">
        <v>0</v>
      </c>
      <c r="L811" s="88" t="b">
        <v>0</v>
      </c>
    </row>
    <row r="812" spans="1:12" ht="15">
      <c r="A812" s="83" t="s">
        <v>2642</v>
      </c>
      <c r="B812" s="88" t="s">
        <v>2643</v>
      </c>
      <c r="C812" s="88">
        <v>2</v>
      </c>
      <c r="D812" s="110">
        <v>0.006143469299264922</v>
      </c>
      <c r="E812" s="110">
        <v>1.6720978579357175</v>
      </c>
      <c r="F812" s="88" t="s">
        <v>1794</v>
      </c>
      <c r="G812" s="88" t="b">
        <v>0</v>
      </c>
      <c r="H812" s="88" t="b">
        <v>0</v>
      </c>
      <c r="I812" s="88" t="b">
        <v>0</v>
      </c>
      <c r="J812" s="88" t="b">
        <v>0</v>
      </c>
      <c r="K812" s="88" t="b">
        <v>0</v>
      </c>
      <c r="L812" s="88" t="b">
        <v>0</v>
      </c>
    </row>
    <row r="813" spans="1:12" ht="15">
      <c r="A813" s="83" t="s">
        <v>2643</v>
      </c>
      <c r="B813" s="88" t="s">
        <v>2644</v>
      </c>
      <c r="C813" s="88">
        <v>2</v>
      </c>
      <c r="D813" s="110">
        <v>0.006143469299264922</v>
      </c>
      <c r="E813" s="110">
        <v>1.6720978579357175</v>
      </c>
      <c r="F813" s="88" t="s">
        <v>1794</v>
      </c>
      <c r="G813" s="88" t="b">
        <v>0</v>
      </c>
      <c r="H813" s="88" t="b">
        <v>0</v>
      </c>
      <c r="I813" s="88" t="b">
        <v>0</v>
      </c>
      <c r="J813" s="88" t="b">
        <v>0</v>
      </c>
      <c r="K813" s="88" t="b">
        <v>0</v>
      </c>
      <c r="L813" s="88" t="b">
        <v>0</v>
      </c>
    </row>
    <row r="814" spans="1:12" ht="15">
      <c r="A814" s="83" t="s">
        <v>2644</v>
      </c>
      <c r="B814" s="88" t="s">
        <v>1964</v>
      </c>
      <c r="C814" s="88">
        <v>2</v>
      </c>
      <c r="D814" s="110">
        <v>0.006143469299264922</v>
      </c>
      <c r="E814" s="110">
        <v>1.070037866607755</v>
      </c>
      <c r="F814" s="88" t="s">
        <v>1794</v>
      </c>
      <c r="G814" s="88" t="b">
        <v>0</v>
      </c>
      <c r="H814" s="88" t="b">
        <v>0</v>
      </c>
      <c r="I814" s="88" t="b">
        <v>0</v>
      </c>
      <c r="J814" s="88" t="b">
        <v>0</v>
      </c>
      <c r="K814" s="88" t="b">
        <v>0</v>
      </c>
      <c r="L814" s="88" t="b">
        <v>0</v>
      </c>
    </row>
    <row r="815" spans="1:12" ht="15">
      <c r="A815" s="83" t="s">
        <v>1944</v>
      </c>
      <c r="B815" s="88" t="s">
        <v>1964</v>
      </c>
      <c r="C815" s="88">
        <v>2</v>
      </c>
      <c r="D815" s="110">
        <v>0.006143469299264922</v>
      </c>
      <c r="E815" s="110">
        <v>0.7690078709437739</v>
      </c>
      <c r="F815" s="88" t="s">
        <v>1794</v>
      </c>
      <c r="G815" s="88" t="b">
        <v>0</v>
      </c>
      <c r="H815" s="88" t="b">
        <v>0</v>
      </c>
      <c r="I815" s="88" t="b">
        <v>0</v>
      </c>
      <c r="J815" s="88" t="b">
        <v>0</v>
      </c>
      <c r="K815" s="88" t="b">
        <v>0</v>
      </c>
      <c r="L815" s="88" t="b">
        <v>0</v>
      </c>
    </row>
    <row r="816" spans="1:12" ht="15">
      <c r="A816" s="83" t="s">
        <v>1964</v>
      </c>
      <c r="B816" s="88" t="s">
        <v>2645</v>
      </c>
      <c r="C816" s="88">
        <v>2</v>
      </c>
      <c r="D816" s="110">
        <v>0.006143469299264922</v>
      </c>
      <c r="E816" s="110">
        <v>0.9731278535996987</v>
      </c>
      <c r="F816" s="88" t="s">
        <v>1794</v>
      </c>
      <c r="G816" s="88" t="b">
        <v>0</v>
      </c>
      <c r="H816" s="88" t="b">
        <v>0</v>
      </c>
      <c r="I816" s="88" t="b">
        <v>0</v>
      </c>
      <c r="J816" s="88" t="b">
        <v>0</v>
      </c>
      <c r="K816" s="88" t="b">
        <v>0</v>
      </c>
      <c r="L816" s="88" t="b">
        <v>0</v>
      </c>
    </row>
    <row r="817" spans="1:12" ht="15">
      <c r="A817" s="83" t="s">
        <v>2645</v>
      </c>
      <c r="B817" s="88" t="s">
        <v>2646</v>
      </c>
      <c r="C817" s="88">
        <v>2</v>
      </c>
      <c r="D817" s="110">
        <v>0.006143469299264922</v>
      </c>
      <c r="E817" s="110">
        <v>1.6720978579357175</v>
      </c>
      <c r="F817" s="88" t="s">
        <v>1794</v>
      </c>
      <c r="G817" s="88" t="b">
        <v>0</v>
      </c>
      <c r="H817" s="88" t="b">
        <v>0</v>
      </c>
      <c r="I817" s="88" t="b">
        <v>0</v>
      </c>
      <c r="J817" s="88" t="b">
        <v>0</v>
      </c>
      <c r="K817" s="88" t="b">
        <v>0</v>
      </c>
      <c r="L817" s="88" t="b">
        <v>0</v>
      </c>
    </row>
    <row r="818" spans="1:12" ht="15">
      <c r="A818" s="83" t="s">
        <v>2646</v>
      </c>
      <c r="B818" s="88" t="s">
        <v>1944</v>
      </c>
      <c r="C818" s="88">
        <v>2</v>
      </c>
      <c r="D818" s="110">
        <v>0.006143469299264922</v>
      </c>
      <c r="E818" s="110">
        <v>1.1949766032160551</v>
      </c>
      <c r="F818" s="88" t="s">
        <v>1794</v>
      </c>
      <c r="G818" s="88" t="b">
        <v>0</v>
      </c>
      <c r="H818" s="88" t="b">
        <v>0</v>
      </c>
      <c r="I818" s="88" t="b">
        <v>0</v>
      </c>
      <c r="J818" s="88" t="b">
        <v>0</v>
      </c>
      <c r="K818" s="88" t="b">
        <v>0</v>
      </c>
      <c r="L818" s="88" t="b">
        <v>0</v>
      </c>
    </row>
    <row r="819" spans="1:12" ht="15">
      <c r="A819" s="83" t="s">
        <v>1964</v>
      </c>
      <c r="B819" s="88" t="s">
        <v>1965</v>
      </c>
      <c r="C819" s="88">
        <v>4</v>
      </c>
      <c r="D819" s="110">
        <v>0</v>
      </c>
      <c r="E819" s="110">
        <v>0.9030899869919435</v>
      </c>
      <c r="F819" s="88" t="s">
        <v>1796</v>
      </c>
      <c r="G819" s="88" t="b">
        <v>0</v>
      </c>
      <c r="H819" s="88" t="b">
        <v>0</v>
      </c>
      <c r="I819" s="88" t="b">
        <v>0</v>
      </c>
      <c r="J819" s="88" t="b">
        <v>0</v>
      </c>
      <c r="K819" s="88" t="b">
        <v>0</v>
      </c>
      <c r="L819" s="88" t="b">
        <v>0</v>
      </c>
    </row>
    <row r="820" spans="1:12" ht="15">
      <c r="A820" s="83" t="s">
        <v>2651</v>
      </c>
      <c r="B820" s="88" t="s">
        <v>2537</v>
      </c>
      <c r="C820" s="88">
        <v>2</v>
      </c>
      <c r="D820" s="110">
        <v>0</v>
      </c>
      <c r="E820" s="110">
        <v>1.2041199826559248</v>
      </c>
      <c r="F820" s="88" t="s">
        <v>1796</v>
      </c>
      <c r="G820" s="88" t="b">
        <v>0</v>
      </c>
      <c r="H820" s="88" t="b">
        <v>0</v>
      </c>
      <c r="I820" s="88" t="b">
        <v>0</v>
      </c>
      <c r="J820" s="88" t="b">
        <v>1</v>
      </c>
      <c r="K820" s="88" t="b">
        <v>0</v>
      </c>
      <c r="L820" s="88" t="b">
        <v>0</v>
      </c>
    </row>
    <row r="821" spans="1:12" ht="15">
      <c r="A821" s="83" t="s">
        <v>2537</v>
      </c>
      <c r="B821" s="88" t="s">
        <v>1964</v>
      </c>
      <c r="C821" s="88">
        <v>2</v>
      </c>
      <c r="D821" s="110">
        <v>0</v>
      </c>
      <c r="E821" s="110">
        <v>0.9030899869919435</v>
      </c>
      <c r="F821" s="88" t="s">
        <v>1796</v>
      </c>
      <c r="G821" s="88" t="b">
        <v>1</v>
      </c>
      <c r="H821" s="88" t="b">
        <v>0</v>
      </c>
      <c r="I821" s="88" t="b">
        <v>0</v>
      </c>
      <c r="J821" s="88" t="b">
        <v>0</v>
      </c>
      <c r="K821" s="88" t="b">
        <v>0</v>
      </c>
      <c r="L821" s="88" t="b">
        <v>0</v>
      </c>
    </row>
    <row r="822" spans="1:12" ht="15">
      <c r="A822" s="83" t="s">
        <v>1965</v>
      </c>
      <c r="B822" s="88" t="s">
        <v>1944</v>
      </c>
      <c r="C822" s="88">
        <v>2</v>
      </c>
      <c r="D822" s="110">
        <v>0</v>
      </c>
      <c r="E822" s="110">
        <v>0.9030899869919435</v>
      </c>
      <c r="F822" s="88" t="s">
        <v>1796</v>
      </c>
      <c r="G822" s="88" t="b">
        <v>0</v>
      </c>
      <c r="H822" s="88" t="b">
        <v>0</v>
      </c>
      <c r="I822" s="88" t="b">
        <v>0</v>
      </c>
      <c r="J822" s="88" t="b">
        <v>0</v>
      </c>
      <c r="K822" s="88" t="b">
        <v>0</v>
      </c>
      <c r="L822" s="88" t="b">
        <v>0</v>
      </c>
    </row>
    <row r="823" spans="1:12" ht="15">
      <c r="A823" s="83" t="s">
        <v>1944</v>
      </c>
      <c r="B823" s="88" t="s">
        <v>2652</v>
      </c>
      <c r="C823" s="88">
        <v>2</v>
      </c>
      <c r="D823" s="110">
        <v>0</v>
      </c>
      <c r="E823" s="110">
        <v>1.2041199826559248</v>
      </c>
      <c r="F823" s="88" t="s">
        <v>1796</v>
      </c>
      <c r="G823" s="88" t="b">
        <v>0</v>
      </c>
      <c r="H823" s="88" t="b">
        <v>0</v>
      </c>
      <c r="I823" s="88" t="b">
        <v>0</v>
      </c>
      <c r="J823" s="88" t="b">
        <v>0</v>
      </c>
      <c r="K823" s="88" t="b">
        <v>0</v>
      </c>
      <c r="L823" s="88" t="b">
        <v>0</v>
      </c>
    </row>
    <row r="824" spans="1:12" ht="15">
      <c r="A824" s="83" t="s">
        <v>2652</v>
      </c>
      <c r="B824" s="88" t="s">
        <v>2653</v>
      </c>
      <c r="C824" s="88">
        <v>2</v>
      </c>
      <c r="D824" s="110">
        <v>0</v>
      </c>
      <c r="E824" s="110">
        <v>1.2041199826559248</v>
      </c>
      <c r="F824" s="88" t="s">
        <v>1796</v>
      </c>
      <c r="G824" s="88" t="b">
        <v>0</v>
      </c>
      <c r="H824" s="88" t="b">
        <v>0</v>
      </c>
      <c r="I824" s="88" t="b">
        <v>0</v>
      </c>
      <c r="J824" s="88" t="b">
        <v>0</v>
      </c>
      <c r="K824" s="88" t="b">
        <v>0</v>
      </c>
      <c r="L824" s="88" t="b">
        <v>0</v>
      </c>
    </row>
    <row r="825" spans="1:12" ht="15">
      <c r="A825" s="83" t="s">
        <v>2653</v>
      </c>
      <c r="B825" s="88" t="s">
        <v>1997</v>
      </c>
      <c r="C825" s="88">
        <v>2</v>
      </c>
      <c r="D825" s="110">
        <v>0</v>
      </c>
      <c r="E825" s="110">
        <v>1.2041199826559248</v>
      </c>
      <c r="F825" s="88" t="s">
        <v>1796</v>
      </c>
      <c r="G825" s="88" t="b">
        <v>0</v>
      </c>
      <c r="H825" s="88" t="b">
        <v>0</v>
      </c>
      <c r="I825" s="88" t="b">
        <v>0</v>
      </c>
      <c r="J825" s="88" t="b">
        <v>0</v>
      </c>
      <c r="K825" s="88" t="b">
        <v>0</v>
      </c>
      <c r="L825" s="88" t="b">
        <v>0</v>
      </c>
    </row>
    <row r="826" spans="1:12" ht="15">
      <c r="A826" s="83" t="s">
        <v>1997</v>
      </c>
      <c r="B826" s="88" t="s">
        <v>2495</v>
      </c>
      <c r="C826" s="88">
        <v>2</v>
      </c>
      <c r="D826" s="110">
        <v>0</v>
      </c>
      <c r="E826" s="110">
        <v>1.2041199826559248</v>
      </c>
      <c r="F826" s="88" t="s">
        <v>1796</v>
      </c>
      <c r="G826" s="88" t="b">
        <v>0</v>
      </c>
      <c r="H826" s="88" t="b">
        <v>0</v>
      </c>
      <c r="I826" s="88" t="b">
        <v>0</v>
      </c>
      <c r="J826" s="88" t="b">
        <v>0</v>
      </c>
      <c r="K826" s="88" t="b">
        <v>0</v>
      </c>
      <c r="L826" s="88" t="b">
        <v>0</v>
      </c>
    </row>
    <row r="827" spans="1:12" ht="15">
      <c r="A827" s="83" t="s">
        <v>2495</v>
      </c>
      <c r="B827" s="88" t="s">
        <v>1967</v>
      </c>
      <c r="C827" s="88">
        <v>2</v>
      </c>
      <c r="D827" s="110">
        <v>0</v>
      </c>
      <c r="E827" s="110">
        <v>1.2041199826559248</v>
      </c>
      <c r="F827" s="88" t="s">
        <v>1796</v>
      </c>
      <c r="G827" s="88" t="b">
        <v>0</v>
      </c>
      <c r="H827" s="88" t="b">
        <v>0</v>
      </c>
      <c r="I827" s="88" t="b">
        <v>0</v>
      </c>
      <c r="J827" s="88" t="b">
        <v>0</v>
      </c>
      <c r="K827" s="88" t="b">
        <v>0</v>
      </c>
      <c r="L827" s="88" t="b">
        <v>0</v>
      </c>
    </row>
    <row r="828" spans="1:12" ht="15">
      <c r="A828" s="83" t="s">
        <v>1967</v>
      </c>
      <c r="B828" s="88" t="s">
        <v>2507</v>
      </c>
      <c r="C828" s="88">
        <v>2</v>
      </c>
      <c r="D828" s="110">
        <v>0</v>
      </c>
      <c r="E828" s="110">
        <v>1.2041199826559248</v>
      </c>
      <c r="F828" s="88" t="s">
        <v>1796</v>
      </c>
      <c r="G828" s="88" t="b">
        <v>0</v>
      </c>
      <c r="H828" s="88" t="b">
        <v>0</v>
      </c>
      <c r="I828" s="88" t="b">
        <v>0</v>
      </c>
      <c r="J828" s="88" t="b">
        <v>0</v>
      </c>
      <c r="K828" s="88" t="b">
        <v>0</v>
      </c>
      <c r="L828" s="88" t="b">
        <v>0</v>
      </c>
    </row>
    <row r="829" spans="1:12" ht="15">
      <c r="A829" s="83" t="s">
        <v>2507</v>
      </c>
      <c r="B829" s="88" t="s">
        <v>1964</v>
      </c>
      <c r="C829" s="88">
        <v>2</v>
      </c>
      <c r="D829" s="110">
        <v>0</v>
      </c>
      <c r="E829" s="110">
        <v>0.9030899869919435</v>
      </c>
      <c r="F829" s="88" t="s">
        <v>1796</v>
      </c>
      <c r="G829" s="88" t="b">
        <v>0</v>
      </c>
      <c r="H829" s="88" t="b">
        <v>0</v>
      </c>
      <c r="I829" s="88" t="b">
        <v>0</v>
      </c>
      <c r="J829" s="88" t="b">
        <v>0</v>
      </c>
      <c r="K829" s="88" t="b">
        <v>0</v>
      </c>
      <c r="L829" s="88" t="b">
        <v>0</v>
      </c>
    </row>
    <row r="830" spans="1:12" ht="15">
      <c r="A830" s="83" t="s">
        <v>1965</v>
      </c>
      <c r="B830" s="88" t="s">
        <v>2654</v>
      </c>
      <c r="C830" s="88">
        <v>2</v>
      </c>
      <c r="D830" s="110">
        <v>0</v>
      </c>
      <c r="E830" s="110">
        <v>0.9030899869919435</v>
      </c>
      <c r="F830" s="88" t="s">
        <v>1796</v>
      </c>
      <c r="G830" s="88" t="b">
        <v>0</v>
      </c>
      <c r="H830" s="88" t="b">
        <v>0</v>
      </c>
      <c r="I830" s="88" t="b">
        <v>0</v>
      </c>
      <c r="J830" s="88" t="b">
        <v>0</v>
      </c>
      <c r="K830" s="88" t="b">
        <v>0</v>
      </c>
      <c r="L830" s="88" t="b">
        <v>0</v>
      </c>
    </row>
    <row r="831" spans="1:12" ht="15">
      <c r="A831" s="83" t="s">
        <v>2654</v>
      </c>
      <c r="B831" s="88" t="s">
        <v>2538</v>
      </c>
      <c r="C831" s="88">
        <v>2</v>
      </c>
      <c r="D831" s="110">
        <v>0</v>
      </c>
      <c r="E831" s="110">
        <v>1.2041199826559248</v>
      </c>
      <c r="F831" s="88" t="s">
        <v>1796</v>
      </c>
      <c r="G831" s="88" t="b">
        <v>0</v>
      </c>
      <c r="H831" s="88" t="b">
        <v>0</v>
      </c>
      <c r="I831" s="88" t="b">
        <v>0</v>
      </c>
      <c r="J831" s="88" t="b">
        <v>0</v>
      </c>
      <c r="K831" s="88" t="b">
        <v>0</v>
      </c>
      <c r="L831" s="88" t="b">
        <v>0</v>
      </c>
    </row>
    <row r="832" spans="1:12" ht="15">
      <c r="A832" s="83" t="s">
        <v>2538</v>
      </c>
      <c r="B832" s="88" t="s">
        <v>2655</v>
      </c>
      <c r="C832" s="88">
        <v>2</v>
      </c>
      <c r="D832" s="110">
        <v>0</v>
      </c>
      <c r="E832" s="110">
        <v>1.2041199826559248</v>
      </c>
      <c r="F832" s="88" t="s">
        <v>1796</v>
      </c>
      <c r="G832" s="88" t="b">
        <v>0</v>
      </c>
      <c r="H832" s="88" t="b">
        <v>0</v>
      </c>
      <c r="I832" s="88" t="b">
        <v>0</v>
      </c>
      <c r="J832" s="88" t="b">
        <v>0</v>
      </c>
      <c r="K832" s="88" t="b">
        <v>0</v>
      </c>
      <c r="L832" s="88" t="b">
        <v>0</v>
      </c>
    </row>
    <row r="833" spans="1:12" ht="15">
      <c r="A833" s="83" t="s">
        <v>2655</v>
      </c>
      <c r="B833" s="88" t="s">
        <v>2656</v>
      </c>
      <c r="C833" s="88">
        <v>2</v>
      </c>
      <c r="D833" s="110">
        <v>0</v>
      </c>
      <c r="E833" s="110">
        <v>1.2041199826559248</v>
      </c>
      <c r="F833" s="88" t="s">
        <v>1796</v>
      </c>
      <c r="G833" s="88" t="b">
        <v>0</v>
      </c>
      <c r="H833" s="88" t="b">
        <v>0</v>
      </c>
      <c r="I833" s="88" t="b">
        <v>0</v>
      </c>
      <c r="J833" s="88" t="b">
        <v>0</v>
      </c>
      <c r="K833" s="88" t="b">
        <v>0</v>
      </c>
      <c r="L833" s="88" t="b">
        <v>0</v>
      </c>
    </row>
    <row r="834" spans="1:12" ht="15">
      <c r="A834" s="83" t="s">
        <v>2492</v>
      </c>
      <c r="B834" s="88" t="s">
        <v>1964</v>
      </c>
      <c r="C834" s="88">
        <v>2</v>
      </c>
      <c r="D834" s="110">
        <v>0</v>
      </c>
      <c r="E834" s="110">
        <v>0.5440680443502757</v>
      </c>
      <c r="F834" s="88" t="s">
        <v>1798</v>
      </c>
      <c r="G834" s="88" t="b">
        <v>0</v>
      </c>
      <c r="H834" s="88" t="b">
        <v>0</v>
      </c>
      <c r="I834" s="88" t="b">
        <v>0</v>
      </c>
      <c r="J834" s="88" t="b">
        <v>0</v>
      </c>
      <c r="K834" s="88" t="b">
        <v>0</v>
      </c>
      <c r="L834" s="88" t="b">
        <v>0</v>
      </c>
    </row>
    <row r="835" spans="1:12" ht="15">
      <c r="A835" s="83" t="s">
        <v>1964</v>
      </c>
      <c r="B835" s="88" t="s">
        <v>1965</v>
      </c>
      <c r="C835" s="88">
        <v>2</v>
      </c>
      <c r="D835" s="110">
        <v>0</v>
      </c>
      <c r="E835" s="110">
        <v>0.5440680443502757</v>
      </c>
      <c r="F835" s="88" t="s">
        <v>1798</v>
      </c>
      <c r="G835" s="88" t="b">
        <v>0</v>
      </c>
      <c r="H835" s="88" t="b">
        <v>0</v>
      </c>
      <c r="I835" s="88" t="b">
        <v>0</v>
      </c>
      <c r="J835" s="88" t="b">
        <v>0</v>
      </c>
      <c r="K835" s="88" t="b">
        <v>0</v>
      </c>
      <c r="L835" s="88" t="b">
        <v>0</v>
      </c>
    </row>
    <row r="836" spans="1:12" ht="15">
      <c r="A836" s="83" t="s">
        <v>1965</v>
      </c>
      <c r="B836" s="88" t="s">
        <v>1944</v>
      </c>
      <c r="C836" s="88">
        <v>2</v>
      </c>
      <c r="D836" s="110">
        <v>0</v>
      </c>
      <c r="E836" s="110">
        <v>0.5440680443502757</v>
      </c>
      <c r="F836" s="88" t="s">
        <v>1798</v>
      </c>
      <c r="G836" s="88" t="b">
        <v>0</v>
      </c>
      <c r="H836" s="88" t="b">
        <v>0</v>
      </c>
      <c r="I836" s="88" t="b">
        <v>0</v>
      </c>
      <c r="J836" s="88" t="b">
        <v>0</v>
      </c>
      <c r="K836" s="88" t="b">
        <v>0</v>
      </c>
      <c r="L836" s="88" t="b">
        <v>0</v>
      </c>
    </row>
    <row r="837" spans="1:12" ht="15">
      <c r="A837" s="83" t="s">
        <v>1965</v>
      </c>
      <c r="B837" s="88" t="s">
        <v>1944</v>
      </c>
      <c r="C837" s="88">
        <v>2</v>
      </c>
      <c r="D837" s="110">
        <v>0</v>
      </c>
      <c r="E837" s="110">
        <v>1.066946789630613</v>
      </c>
      <c r="F837" s="88" t="s">
        <v>1799</v>
      </c>
      <c r="G837" s="88" t="b">
        <v>0</v>
      </c>
      <c r="H837" s="88" t="b">
        <v>0</v>
      </c>
      <c r="I837" s="88" t="b">
        <v>0</v>
      </c>
      <c r="J837" s="88" t="b">
        <v>0</v>
      </c>
      <c r="K837" s="88" t="b">
        <v>0</v>
      </c>
      <c r="L837" s="88" t="b">
        <v>0</v>
      </c>
    </row>
    <row r="838" spans="1:12" ht="15">
      <c r="A838" s="83" t="s">
        <v>1944</v>
      </c>
      <c r="B838" s="88" t="s">
        <v>2499</v>
      </c>
      <c r="C838" s="88">
        <v>2</v>
      </c>
      <c r="D838" s="110">
        <v>0</v>
      </c>
      <c r="E838" s="110">
        <v>0.47712125471966244</v>
      </c>
      <c r="F838" s="88" t="s">
        <v>1800</v>
      </c>
      <c r="G838" s="88" t="b">
        <v>0</v>
      </c>
      <c r="H838" s="88" t="b">
        <v>0</v>
      </c>
      <c r="I838" s="88" t="b">
        <v>0</v>
      </c>
      <c r="J838" s="88" t="b">
        <v>0</v>
      </c>
      <c r="K838" s="88" t="b">
        <v>0</v>
      </c>
      <c r="L838" s="88" t="b">
        <v>0</v>
      </c>
    </row>
    <row r="839" spans="1:12" ht="15">
      <c r="A839" s="83" t="s">
        <v>2499</v>
      </c>
      <c r="B839" s="88" t="s">
        <v>1964</v>
      </c>
      <c r="C839" s="88">
        <v>2</v>
      </c>
      <c r="D839" s="110">
        <v>0</v>
      </c>
      <c r="E839" s="110">
        <v>0.47712125471966244</v>
      </c>
      <c r="F839" s="88" t="s">
        <v>1800</v>
      </c>
      <c r="G839" s="88" t="b">
        <v>0</v>
      </c>
      <c r="H839" s="88" t="b">
        <v>0</v>
      </c>
      <c r="I839" s="88" t="b">
        <v>0</v>
      </c>
      <c r="J839" s="88" t="b">
        <v>0</v>
      </c>
      <c r="K839" s="88" t="b">
        <v>0</v>
      </c>
      <c r="L839" s="88" t="b">
        <v>0</v>
      </c>
    </row>
    <row r="840" spans="1:12" ht="15">
      <c r="A840" s="83" t="s">
        <v>1964</v>
      </c>
      <c r="B840" s="88" t="s">
        <v>1965</v>
      </c>
      <c r="C840" s="88">
        <v>2</v>
      </c>
      <c r="D840" s="110">
        <v>0</v>
      </c>
      <c r="E840" s="110">
        <v>0.47712125471966244</v>
      </c>
      <c r="F840" s="88" t="s">
        <v>1800</v>
      </c>
      <c r="G840" s="88" t="b">
        <v>0</v>
      </c>
      <c r="H840" s="88" t="b">
        <v>0</v>
      </c>
      <c r="I840" s="88" t="b">
        <v>0</v>
      </c>
      <c r="J840" s="88" t="b">
        <v>0</v>
      </c>
      <c r="K840" s="88" t="b">
        <v>0</v>
      </c>
      <c r="L840" s="88" t="b">
        <v>0</v>
      </c>
    </row>
    <row r="841" spans="1:12" ht="15">
      <c r="A841" s="83" t="s">
        <v>2473</v>
      </c>
      <c r="B841" s="88" t="s">
        <v>2695</v>
      </c>
      <c r="C841" s="88">
        <v>2</v>
      </c>
      <c r="D841" s="110">
        <v>0</v>
      </c>
      <c r="E841" s="110">
        <v>1.021189299069938</v>
      </c>
      <c r="F841" s="88" t="s">
        <v>1803</v>
      </c>
      <c r="G841" s="88" t="b">
        <v>0</v>
      </c>
      <c r="H841" s="88" t="b">
        <v>0</v>
      </c>
      <c r="I841" s="88" t="b">
        <v>0</v>
      </c>
      <c r="J841" s="88" t="b">
        <v>0</v>
      </c>
      <c r="K841" s="88" t="b">
        <v>0</v>
      </c>
      <c r="L841"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A909-4172-4702-AE7A-9F996DFEDCDA}">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2738</v>
      </c>
      <c r="B2" s="113" t="s">
        <v>2739</v>
      </c>
      <c r="C2" s="54" t="s">
        <v>2740</v>
      </c>
    </row>
    <row r="3" spans="1:3" ht="15">
      <c r="A3" s="112" t="s">
        <v>1777</v>
      </c>
      <c r="B3" s="112" t="s">
        <v>1777</v>
      </c>
      <c r="C3" s="35">
        <v>242</v>
      </c>
    </row>
    <row r="4" spans="1:3" ht="15">
      <c r="A4" s="112" t="s">
        <v>1778</v>
      </c>
      <c r="B4" s="112" t="s">
        <v>1778</v>
      </c>
      <c r="C4" s="35">
        <v>24</v>
      </c>
    </row>
    <row r="5" spans="1:3" ht="15">
      <c r="A5" s="112" t="s">
        <v>1779</v>
      </c>
      <c r="B5" s="112" t="s">
        <v>1777</v>
      </c>
      <c r="C5" s="35">
        <v>2</v>
      </c>
    </row>
    <row r="6" spans="1:3" ht="15">
      <c r="A6" s="112" t="s">
        <v>1779</v>
      </c>
      <c r="B6" s="112" t="s">
        <v>1779</v>
      </c>
      <c r="C6" s="35">
        <v>32</v>
      </c>
    </row>
    <row r="7" spans="1:3" ht="15">
      <c r="A7" s="112" t="s">
        <v>1779</v>
      </c>
      <c r="B7" s="112" t="s">
        <v>1786</v>
      </c>
      <c r="C7" s="35">
        <v>1</v>
      </c>
    </row>
    <row r="8" spans="1:3" ht="15">
      <c r="A8" s="112" t="s">
        <v>1780</v>
      </c>
      <c r="B8" s="112" t="s">
        <v>1780</v>
      </c>
      <c r="C8" s="35">
        <v>31</v>
      </c>
    </row>
    <row r="9" spans="1:3" ht="15">
      <c r="A9" s="112" t="s">
        <v>1781</v>
      </c>
      <c r="B9" s="112" t="s">
        <v>1781</v>
      </c>
      <c r="C9" s="35">
        <v>11</v>
      </c>
    </row>
    <row r="10" spans="1:3" ht="15">
      <c r="A10" s="112" t="s">
        <v>1782</v>
      </c>
      <c r="B10" s="112" t="s">
        <v>1782</v>
      </c>
      <c r="C10" s="35">
        <v>11</v>
      </c>
    </row>
    <row r="11" spans="1:3" ht="15">
      <c r="A11" s="112" t="s">
        <v>1783</v>
      </c>
      <c r="B11" s="112" t="s">
        <v>1783</v>
      </c>
      <c r="C11" s="35">
        <v>6</v>
      </c>
    </row>
    <row r="12" spans="1:3" ht="15">
      <c r="A12" s="112" t="s">
        <v>1784</v>
      </c>
      <c r="B12" s="112" t="s">
        <v>1784</v>
      </c>
      <c r="C12" s="35">
        <v>6</v>
      </c>
    </row>
    <row r="13" spans="1:3" ht="15">
      <c r="A13" s="112" t="s">
        <v>1785</v>
      </c>
      <c r="B13" s="112" t="s">
        <v>1785</v>
      </c>
      <c r="C13" s="35">
        <v>5</v>
      </c>
    </row>
    <row r="14" spans="1:3" ht="15">
      <c r="A14" s="112" t="s">
        <v>1786</v>
      </c>
      <c r="B14" s="112" t="s">
        <v>1786</v>
      </c>
      <c r="C14" s="35">
        <v>9</v>
      </c>
    </row>
    <row r="15" spans="1:3" ht="15">
      <c r="A15" s="112" t="s">
        <v>1787</v>
      </c>
      <c r="B15" s="112" t="s">
        <v>1787</v>
      </c>
      <c r="C15" s="35">
        <v>4</v>
      </c>
    </row>
    <row r="16" spans="1:3" ht="15">
      <c r="A16" s="112" t="s">
        <v>1788</v>
      </c>
      <c r="B16" s="112" t="s">
        <v>1788</v>
      </c>
      <c r="C16" s="35">
        <v>4</v>
      </c>
    </row>
    <row r="17" spans="1:3" ht="15">
      <c r="A17" s="112" t="s">
        <v>1789</v>
      </c>
      <c r="B17" s="112" t="s">
        <v>1789</v>
      </c>
      <c r="C17" s="35">
        <v>3</v>
      </c>
    </row>
    <row r="18" spans="1:3" ht="15">
      <c r="A18" s="112" t="s">
        <v>1790</v>
      </c>
      <c r="B18" s="112" t="s">
        <v>1790</v>
      </c>
      <c r="C18" s="35">
        <v>8</v>
      </c>
    </row>
    <row r="19" spans="1:3" ht="15">
      <c r="A19" s="112" t="s">
        <v>1791</v>
      </c>
      <c r="B19" s="112" t="s">
        <v>1791</v>
      </c>
      <c r="C19" s="35">
        <v>3</v>
      </c>
    </row>
    <row r="20" spans="1:3" ht="15">
      <c r="A20" s="112" t="s">
        <v>1792</v>
      </c>
      <c r="B20" s="112" t="s">
        <v>1792</v>
      </c>
      <c r="C20" s="35">
        <v>3</v>
      </c>
    </row>
    <row r="21" spans="1:3" ht="15">
      <c r="A21" s="112" t="s">
        <v>1793</v>
      </c>
      <c r="B21" s="112" t="s">
        <v>1793</v>
      </c>
      <c r="C21" s="35">
        <v>1</v>
      </c>
    </row>
    <row r="22" spans="1:3" ht="15">
      <c r="A22" s="112" t="s">
        <v>1794</v>
      </c>
      <c r="B22" s="112" t="s">
        <v>1794</v>
      </c>
      <c r="C22" s="35">
        <v>4</v>
      </c>
    </row>
    <row r="23" spans="1:3" ht="15">
      <c r="A23" s="112" t="s">
        <v>1795</v>
      </c>
      <c r="B23" s="112" t="s">
        <v>1795</v>
      </c>
      <c r="C23" s="35">
        <v>1</v>
      </c>
    </row>
    <row r="24" spans="1:3" ht="15">
      <c r="A24" s="112" t="s">
        <v>1796</v>
      </c>
      <c r="B24" s="112" t="s">
        <v>1796</v>
      </c>
      <c r="C24" s="35">
        <v>2</v>
      </c>
    </row>
    <row r="25" spans="1:3" ht="15">
      <c r="A25" s="112" t="s">
        <v>1797</v>
      </c>
      <c r="B25" s="112" t="s">
        <v>1797</v>
      </c>
      <c r="C25" s="35">
        <v>1</v>
      </c>
    </row>
    <row r="26" spans="1:3" ht="15">
      <c r="A26" s="112" t="s">
        <v>1798</v>
      </c>
      <c r="B26" s="112" t="s">
        <v>1798</v>
      </c>
      <c r="C26" s="35">
        <v>2</v>
      </c>
    </row>
    <row r="27" spans="1:3" ht="15">
      <c r="A27" s="112" t="s">
        <v>1799</v>
      </c>
      <c r="B27" s="112" t="s">
        <v>1799</v>
      </c>
      <c r="C27" s="35">
        <v>1</v>
      </c>
    </row>
    <row r="28" spans="1:3" ht="15">
      <c r="A28" s="112" t="s">
        <v>1800</v>
      </c>
      <c r="B28" s="112" t="s">
        <v>1800</v>
      </c>
      <c r="C28" s="35">
        <v>2</v>
      </c>
    </row>
    <row r="29" spans="1:3" ht="15">
      <c r="A29" s="112" t="s">
        <v>1801</v>
      </c>
      <c r="B29" s="112" t="s">
        <v>1801</v>
      </c>
      <c r="C29" s="35">
        <v>1</v>
      </c>
    </row>
    <row r="30" spans="1:3" ht="15">
      <c r="A30" s="112" t="s">
        <v>1802</v>
      </c>
      <c r="B30" s="112" t="s">
        <v>1802</v>
      </c>
      <c r="C30" s="35">
        <v>1</v>
      </c>
    </row>
    <row r="31" spans="1:3" ht="15">
      <c r="A31" s="112" t="s">
        <v>1803</v>
      </c>
      <c r="B31" s="112" t="s">
        <v>1803</v>
      </c>
      <c r="C31" s="35">
        <v>1</v>
      </c>
    </row>
    <row r="32" spans="1:3" ht="15">
      <c r="A32" s="112" t="s">
        <v>1804</v>
      </c>
      <c r="B32" s="112" t="s">
        <v>1804</v>
      </c>
      <c r="C32"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ABDF3-352B-47FB-A5CD-3256A02A5A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2760</v>
      </c>
      <c r="B1" s="13" t="s">
        <v>17</v>
      </c>
    </row>
    <row r="2" spans="1:2" ht="15">
      <c r="A2" s="79" t="s">
        <v>2761</v>
      </c>
      <c r="B2" s="79" t="s">
        <v>2767</v>
      </c>
    </row>
    <row r="3" spans="1:2" ht="15">
      <c r="A3" s="80" t="s">
        <v>2762</v>
      </c>
      <c r="B3" s="79" t="s">
        <v>2768</v>
      </c>
    </row>
    <row r="4" spans="1:2" ht="15">
      <c r="A4" s="80" t="s">
        <v>2763</v>
      </c>
      <c r="B4" s="79" t="s">
        <v>2769</v>
      </c>
    </row>
    <row r="5" spans="1:2" ht="15">
      <c r="A5" s="80" t="s">
        <v>2764</v>
      </c>
      <c r="B5" s="79" t="s">
        <v>2770</v>
      </c>
    </row>
    <row r="6" spans="1:2" ht="15">
      <c r="A6" s="80" t="s">
        <v>2765</v>
      </c>
      <c r="B6" s="79" t="s">
        <v>2771</v>
      </c>
    </row>
    <row r="7" spans="1:2" ht="15">
      <c r="A7" s="80" t="s">
        <v>2766</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CD5C-C193-45C2-ABFA-1A51F9C7AA97}">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1776</v>
      </c>
      <c r="BD2" s="13" t="s">
        <v>1818</v>
      </c>
      <c r="BE2" s="13" t="s">
        <v>1819</v>
      </c>
      <c r="BF2" s="54" t="s">
        <v>2727</v>
      </c>
      <c r="BG2" s="54" t="s">
        <v>2728</v>
      </c>
      <c r="BH2" s="54" t="s">
        <v>2729</v>
      </c>
      <c r="BI2" s="54" t="s">
        <v>2730</v>
      </c>
      <c r="BJ2" s="54" t="s">
        <v>2731</v>
      </c>
      <c r="BK2" s="54" t="s">
        <v>2732</v>
      </c>
      <c r="BL2" s="54" t="s">
        <v>2733</v>
      </c>
      <c r="BM2" s="54" t="s">
        <v>2734</v>
      </c>
      <c r="BN2" s="54" t="s">
        <v>2735</v>
      </c>
    </row>
    <row r="3" spans="1:66" ht="15" customHeight="1">
      <c r="A3" s="65" t="s">
        <v>366</v>
      </c>
      <c r="B3" s="65" t="s">
        <v>366</v>
      </c>
      <c r="C3" s="66"/>
      <c r="D3" s="67"/>
      <c r="E3" s="68"/>
      <c r="F3" s="69"/>
      <c r="G3" s="66"/>
      <c r="H3" s="70"/>
      <c r="I3" s="71"/>
      <c r="J3" s="71"/>
      <c r="K3" s="35" t="s">
        <v>65</v>
      </c>
      <c r="L3" s="72">
        <v>3</v>
      </c>
      <c r="M3" s="72"/>
      <c r="N3" s="73"/>
      <c r="O3" s="79" t="s">
        <v>196</v>
      </c>
      <c r="P3" s="81">
        <v>44473.56878472222</v>
      </c>
      <c r="Q3" s="79" t="s">
        <v>508</v>
      </c>
      <c r="R3" s="84" t="str">
        <f>HYPERLINK("https://plantbasednews.org/lifestyle/food/cell-cultured-meat-could-hit-grocery-stores-in-next-5-years-predicts-expert/")</f>
        <v>https://plantbasednews.org/lifestyle/food/cell-cultured-meat-could-hit-grocery-stores-in-next-5-years-predicts-expert/</v>
      </c>
      <c r="S3" s="79" t="s">
        <v>529</v>
      </c>
      <c r="T3" s="79"/>
      <c r="U3" s="79"/>
      <c r="V3" s="84" t="str">
        <f>HYPERLINK("https://abs.twimg.com/sticky/default_profile_images/default_profile_normal.png")</f>
        <v>https://abs.twimg.com/sticky/default_profile_images/default_profile_normal.png</v>
      </c>
      <c r="W3" s="81">
        <v>44473.56878472222</v>
      </c>
      <c r="X3" s="86">
        <v>44473</v>
      </c>
      <c r="Y3" s="88" t="s">
        <v>750</v>
      </c>
      <c r="Z3" s="84" t="str">
        <f>HYPERLINK("https://twitter.com/sallypwynn/status/1445020643179778057")</f>
        <v>https://twitter.com/sallypwynn/status/1445020643179778057</v>
      </c>
      <c r="AA3" s="79"/>
      <c r="AB3" s="79"/>
      <c r="AC3" s="88" t="s">
        <v>937</v>
      </c>
      <c r="AD3" s="79"/>
      <c r="AE3" s="79" t="b">
        <v>0</v>
      </c>
      <c r="AF3" s="79">
        <v>0</v>
      </c>
      <c r="AG3" s="88" t="s">
        <v>952</v>
      </c>
      <c r="AH3" s="79" t="b">
        <v>0</v>
      </c>
      <c r="AI3" s="79" t="s">
        <v>967</v>
      </c>
      <c r="AJ3" s="79"/>
      <c r="AK3" s="88" t="s">
        <v>952</v>
      </c>
      <c r="AL3" s="79" t="b">
        <v>0</v>
      </c>
      <c r="AM3" s="79">
        <v>0</v>
      </c>
      <c r="AN3" s="88" t="s">
        <v>952</v>
      </c>
      <c r="AO3" s="88" t="s">
        <v>979</v>
      </c>
      <c r="AP3" s="79" t="b">
        <v>0</v>
      </c>
      <c r="AQ3" s="88" t="s">
        <v>937</v>
      </c>
      <c r="AR3" s="79" t="s">
        <v>196</v>
      </c>
      <c r="AS3" s="79">
        <v>0</v>
      </c>
      <c r="AT3" s="79">
        <v>0</v>
      </c>
      <c r="AU3" s="79"/>
      <c r="AV3" s="79"/>
      <c r="AW3" s="79"/>
      <c r="AX3" s="79"/>
      <c r="AY3" s="79"/>
      <c r="AZ3" s="79"/>
      <c r="BA3" s="79"/>
      <c r="BB3" s="79"/>
      <c r="BC3">
        <v>1</v>
      </c>
      <c r="BD3" s="79" t="str">
        <f>REPLACE(INDEX(GroupVertices[Group],MATCH(Edges25[[#This Row],[Vertex 1]],GroupVertices[Vertex],0)),1,1,"")</f>
        <v>2</v>
      </c>
      <c r="BE3" s="79" t="str">
        <f>REPLACE(INDEX(GroupVertices[Group],MATCH(Edges25[[#This Row],[Vertex 2]],GroupVertices[Vertex],0)),1,1,"")</f>
        <v>2</v>
      </c>
      <c r="BF3" s="49">
        <v>0</v>
      </c>
      <c r="BG3" s="50">
        <v>0</v>
      </c>
      <c r="BH3" s="49">
        <v>0</v>
      </c>
      <c r="BI3" s="50">
        <v>0</v>
      </c>
      <c r="BJ3" s="49">
        <v>0</v>
      </c>
      <c r="BK3" s="50">
        <v>0</v>
      </c>
      <c r="BL3" s="49">
        <v>16</v>
      </c>
      <c r="BM3" s="50">
        <v>100</v>
      </c>
      <c r="BN3" s="49">
        <v>16</v>
      </c>
    </row>
    <row r="4" spans="1:66" ht="15" customHeight="1">
      <c r="A4" s="65" t="s">
        <v>234</v>
      </c>
      <c r="B4" s="65" t="s">
        <v>367</v>
      </c>
      <c r="C4" s="66"/>
      <c r="D4" s="67"/>
      <c r="E4" s="66"/>
      <c r="F4" s="69"/>
      <c r="G4" s="66"/>
      <c r="H4" s="70"/>
      <c r="I4" s="71"/>
      <c r="J4" s="71"/>
      <c r="K4" s="35" t="s">
        <v>65</v>
      </c>
      <c r="L4" s="72">
        <v>4</v>
      </c>
      <c r="M4" s="72"/>
      <c r="N4" s="73"/>
      <c r="O4" s="80" t="s">
        <v>406</v>
      </c>
      <c r="P4" s="82">
        <v>44473.645949074074</v>
      </c>
      <c r="Q4" s="80" t="s">
        <v>410</v>
      </c>
      <c r="R4" s="80"/>
      <c r="S4" s="80"/>
      <c r="T4" s="80"/>
      <c r="U4" s="80"/>
      <c r="V4" s="85" t="str">
        <f>HYPERLINK("https://pbs.twimg.com/profile_images/1336341461307047936/cVJ9-DD6_normal.jpg")</f>
        <v>https://pbs.twimg.com/profile_images/1336341461307047936/cVJ9-DD6_normal.jpg</v>
      </c>
      <c r="W4" s="82">
        <v>44473.645949074074</v>
      </c>
      <c r="X4" s="87">
        <v>44473</v>
      </c>
      <c r="Y4" s="83" t="s">
        <v>568</v>
      </c>
      <c r="Z4" s="85" t="str">
        <f>HYPERLINK("https://twitter.com/plantfinance/status/1445048608781340678")</f>
        <v>https://twitter.com/plantfinance/status/1445048608781340678</v>
      </c>
      <c r="AA4" s="80"/>
      <c r="AB4" s="80"/>
      <c r="AC4" s="83" t="s">
        <v>751</v>
      </c>
      <c r="AD4" s="80"/>
      <c r="AE4" s="80" t="b">
        <v>0</v>
      </c>
      <c r="AF4" s="80">
        <v>1</v>
      </c>
      <c r="AG4" s="83" t="s">
        <v>952</v>
      </c>
      <c r="AH4" s="80" t="b">
        <v>0</v>
      </c>
      <c r="AI4" s="80" t="s">
        <v>967</v>
      </c>
      <c r="AJ4" s="80"/>
      <c r="AK4" s="83" t="s">
        <v>952</v>
      </c>
      <c r="AL4" s="80" t="b">
        <v>0</v>
      </c>
      <c r="AM4" s="80">
        <v>1</v>
      </c>
      <c r="AN4" s="83" t="s">
        <v>952</v>
      </c>
      <c r="AO4" s="83" t="s">
        <v>972</v>
      </c>
      <c r="AP4" s="80" t="b">
        <v>0</v>
      </c>
      <c r="AQ4" s="83" t="s">
        <v>751</v>
      </c>
      <c r="AR4" s="80" t="s">
        <v>196</v>
      </c>
      <c r="AS4" s="80">
        <v>0</v>
      </c>
      <c r="AT4" s="80">
        <v>0</v>
      </c>
      <c r="AU4" s="80"/>
      <c r="AV4" s="80"/>
      <c r="AW4" s="80"/>
      <c r="AX4" s="80"/>
      <c r="AY4" s="80"/>
      <c r="AZ4" s="80"/>
      <c r="BA4" s="80"/>
      <c r="BB4" s="80"/>
      <c r="BC4">
        <v>1</v>
      </c>
      <c r="BD4" s="79" t="str">
        <f>REPLACE(INDEX(GroupVertices[Group],MATCH(Edges25[[#This Row],[Vertex 1]],GroupVertices[Vertex],0)),1,1,"")</f>
        <v>16</v>
      </c>
      <c r="BE4" s="79" t="str">
        <f>REPLACE(INDEX(GroupVertices[Group],MATCH(Edges25[[#This Row],[Vertex 2]],GroupVertices[Vertex],0)),1,1,"")</f>
        <v>16</v>
      </c>
      <c r="BF4" s="49">
        <v>1</v>
      </c>
      <c r="BG4" s="50">
        <v>2.2222222222222223</v>
      </c>
      <c r="BH4" s="49">
        <v>0</v>
      </c>
      <c r="BI4" s="50">
        <v>0</v>
      </c>
      <c r="BJ4" s="49">
        <v>0</v>
      </c>
      <c r="BK4" s="50">
        <v>0</v>
      </c>
      <c r="BL4" s="49">
        <v>44</v>
      </c>
      <c r="BM4" s="50">
        <v>97.77777777777777</v>
      </c>
      <c r="BN4" s="49">
        <v>45</v>
      </c>
    </row>
    <row r="5" spans="1:66" ht="15">
      <c r="A5" s="65" t="s">
        <v>235</v>
      </c>
      <c r="B5" s="65" t="s">
        <v>367</v>
      </c>
      <c r="C5" s="66"/>
      <c r="D5" s="67"/>
      <c r="E5" s="66"/>
      <c r="F5" s="69"/>
      <c r="G5" s="66"/>
      <c r="H5" s="70"/>
      <c r="I5" s="71"/>
      <c r="J5" s="71"/>
      <c r="K5" s="35" t="s">
        <v>65</v>
      </c>
      <c r="L5" s="72">
        <v>5</v>
      </c>
      <c r="M5" s="72"/>
      <c r="N5" s="73"/>
      <c r="O5" s="80" t="s">
        <v>407</v>
      </c>
      <c r="P5" s="82">
        <v>44473.666400462964</v>
      </c>
      <c r="Q5" s="80" t="s">
        <v>410</v>
      </c>
      <c r="R5" s="80"/>
      <c r="S5" s="80"/>
      <c r="T5" s="80"/>
      <c r="U5" s="80"/>
      <c r="V5" s="85" t="str">
        <f>HYPERLINK("https://pbs.twimg.com/profile_images/648533275934261248/Qv9_WLuZ_normal.jpg")</f>
        <v>https://pbs.twimg.com/profile_images/648533275934261248/Qv9_WLuZ_normal.jpg</v>
      </c>
      <c r="W5" s="82">
        <v>44473.666400462964</v>
      </c>
      <c r="X5" s="87">
        <v>44473</v>
      </c>
      <c r="Y5" s="83" t="s">
        <v>569</v>
      </c>
      <c r="Z5" s="85" t="str">
        <f>HYPERLINK("https://twitter.com/jeremyszafron/status/1445056021060194307")</f>
        <v>https://twitter.com/jeremyszafron/status/1445056021060194307</v>
      </c>
      <c r="AA5" s="80"/>
      <c r="AB5" s="80"/>
      <c r="AC5" s="83" t="s">
        <v>752</v>
      </c>
      <c r="AD5" s="80"/>
      <c r="AE5" s="80" t="b">
        <v>0</v>
      </c>
      <c r="AF5" s="80">
        <v>0</v>
      </c>
      <c r="AG5" s="83" t="s">
        <v>952</v>
      </c>
      <c r="AH5" s="80" t="b">
        <v>0</v>
      </c>
      <c r="AI5" s="80" t="s">
        <v>967</v>
      </c>
      <c r="AJ5" s="80"/>
      <c r="AK5" s="83" t="s">
        <v>952</v>
      </c>
      <c r="AL5" s="80" t="b">
        <v>0</v>
      </c>
      <c r="AM5" s="80">
        <v>1</v>
      </c>
      <c r="AN5" s="83" t="s">
        <v>751</v>
      </c>
      <c r="AO5" s="83" t="s">
        <v>972</v>
      </c>
      <c r="AP5" s="80" t="b">
        <v>0</v>
      </c>
      <c r="AQ5" s="83" t="s">
        <v>751</v>
      </c>
      <c r="AR5" s="80" t="s">
        <v>196</v>
      </c>
      <c r="AS5" s="80">
        <v>0</v>
      </c>
      <c r="AT5" s="80">
        <v>0</v>
      </c>
      <c r="AU5" s="80"/>
      <c r="AV5" s="80"/>
      <c r="AW5" s="80"/>
      <c r="AX5" s="80"/>
      <c r="AY5" s="80"/>
      <c r="AZ5" s="80"/>
      <c r="BA5" s="80"/>
      <c r="BB5" s="80"/>
      <c r="BC5">
        <v>1</v>
      </c>
      <c r="BD5" s="79" t="str">
        <f>REPLACE(INDEX(GroupVertices[Group],MATCH(Edges25[[#This Row],[Vertex 1]],GroupVertices[Vertex],0)),1,1,"")</f>
        <v>16</v>
      </c>
      <c r="BE5" s="79" t="str">
        <f>REPLACE(INDEX(GroupVertices[Group],MATCH(Edges25[[#This Row],[Vertex 2]],GroupVertices[Vertex],0)),1,1,"")</f>
        <v>16</v>
      </c>
      <c r="BF5" s="49"/>
      <c r="BG5" s="50"/>
      <c r="BH5" s="49"/>
      <c r="BI5" s="50"/>
      <c r="BJ5" s="49"/>
      <c r="BK5" s="50"/>
      <c r="BL5" s="49"/>
      <c r="BM5" s="50"/>
      <c r="BN5" s="49"/>
    </row>
    <row r="6" spans="1:66" ht="15">
      <c r="A6" s="65" t="s">
        <v>236</v>
      </c>
      <c r="B6" s="65" t="s">
        <v>368</v>
      </c>
      <c r="C6" s="66"/>
      <c r="D6" s="67"/>
      <c r="E6" s="66"/>
      <c r="F6" s="69"/>
      <c r="G6" s="66"/>
      <c r="H6" s="70"/>
      <c r="I6" s="71"/>
      <c r="J6" s="71"/>
      <c r="K6" s="35" t="s">
        <v>65</v>
      </c>
      <c r="L6" s="72">
        <v>7</v>
      </c>
      <c r="M6" s="72"/>
      <c r="N6" s="73"/>
      <c r="O6" s="80" t="s">
        <v>409</v>
      </c>
      <c r="P6" s="82">
        <v>44473.681979166664</v>
      </c>
      <c r="Q6" s="80" t="s">
        <v>411</v>
      </c>
      <c r="R6" s="85" t="str">
        <f>HYPERLINK("https://www.motherjones.com/food/2021/08/is-lab-meat-about-to-hit-your-dinner-plate/")</f>
        <v>https://www.motherjones.com/food/2021/08/is-lab-meat-about-to-hit-your-dinner-plate/</v>
      </c>
      <c r="S6" s="80" t="s">
        <v>512</v>
      </c>
      <c r="T6" s="80"/>
      <c r="U6" s="80"/>
      <c r="V6" s="85" t="str">
        <f>HYPERLINK("https://pbs.twimg.com/profile_images/1440117577603108868/mjjvO7pt_normal.jpg")</f>
        <v>https://pbs.twimg.com/profile_images/1440117577603108868/mjjvO7pt_normal.jpg</v>
      </c>
      <c r="W6" s="82">
        <v>44473.681979166664</v>
      </c>
      <c r="X6" s="87">
        <v>44473</v>
      </c>
      <c r="Y6" s="83" t="s">
        <v>570</v>
      </c>
      <c r="Z6" s="85" t="str">
        <f>HYPERLINK("https://twitter.com/michelersimon/status/1445061663049224198")</f>
        <v>https://twitter.com/michelersimon/status/1445061663049224198</v>
      </c>
      <c r="AA6" s="80"/>
      <c r="AB6" s="80"/>
      <c r="AC6" s="83" t="s">
        <v>753</v>
      </c>
      <c r="AD6" s="83" t="s">
        <v>938</v>
      </c>
      <c r="AE6" s="80" t="b">
        <v>0</v>
      </c>
      <c r="AF6" s="80">
        <v>1</v>
      </c>
      <c r="AG6" s="83" t="s">
        <v>953</v>
      </c>
      <c r="AH6" s="80" t="b">
        <v>0</v>
      </c>
      <c r="AI6" s="80" t="s">
        <v>967</v>
      </c>
      <c r="AJ6" s="80"/>
      <c r="AK6" s="83" t="s">
        <v>952</v>
      </c>
      <c r="AL6" s="80" t="b">
        <v>0</v>
      </c>
      <c r="AM6" s="80">
        <v>0</v>
      </c>
      <c r="AN6" s="83" t="s">
        <v>952</v>
      </c>
      <c r="AO6" s="83" t="s">
        <v>972</v>
      </c>
      <c r="AP6" s="80" t="b">
        <v>0</v>
      </c>
      <c r="AQ6" s="83" t="s">
        <v>938</v>
      </c>
      <c r="AR6" s="80" t="s">
        <v>196</v>
      </c>
      <c r="AS6" s="80">
        <v>0</v>
      </c>
      <c r="AT6" s="80">
        <v>0</v>
      </c>
      <c r="AU6" s="80"/>
      <c r="AV6" s="80"/>
      <c r="AW6" s="80"/>
      <c r="AX6" s="80"/>
      <c r="AY6" s="80"/>
      <c r="AZ6" s="80"/>
      <c r="BA6" s="80"/>
      <c r="BB6" s="80"/>
      <c r="BC6">
        <v>1</v>
      </c>
      <c r="BD6" s="79" t="str">
        <f>REPLACE(INDEX(GroupVertices[Group],MATCH(Edges25[[#This Row],[Vertex 1]],GroupVertices[Vertex],0)),1,1,"")</f>
        <v>28</v>
      </c>
      <c r="BE6" s="79" t="str">
        <f>REPLACE(INDEX(GroupVertices[Group],MATCH(Edges25[[#This Row],[Vertex 2]],GroupVertices[Vertex],0)),1,1,"")</f>
        <v>28</v>
      </c>
      <c r="BF6" s="49">
        <v>0</v>
      </c>
      <c r="BG6" s="50">
        <v>0</v>
      </c>
      <c r="BH6" s="49">
        <v>0</v>
      </c>
      <c r="BI6" s="50">
        <v>0</v>
      </c>
      <c r="BJ6" s="49">
        <v>0</v>
      </c>
      <c r="BK6" s="50">
        <v>0</v>
      </c>
      <c r="BL6" s="49">
        <v>31</v>
      </c>
      <c r="BM6" s="50">
        <v>100</v>
      </c>
      <c r="BN6" s="49">
        <v>31</v>
      </c>
    </row>
    <row r="7" spans="1:66" ht="15">
      <c r="A7" s="65" t="s">
        <v>237</v>
      </c>
      <c r="B7" s="65" t="s">
        <v>258</v>
      </c>
      <c r="C7" s="66"/>
      <c r="D7" s="67"/>
      <c r="E7" s="66"/>
      <c r="F7" s="69"/>
      <c r="G7" s="66"/>
      <c r="H7" s="70"/>
      <c r="I7" s="71"/>
      <c r="J7" s="71"/>
      <c r="K7" s="35" t="s">
        <v>65</v>
      </c>
      <c r="L7" s="72">
        <v>8</v>
      </c>
      <c r="M7" s="72"/>
      <c r="N7" s="73"/>
      <c r="O7" s="80" t="s">
        <v>406</v>
      </c>
      <c r="P7" s="82">
        <v>44473.75146990741</v>
      </c>
      <c r="Q7" s="80" t="s">
        <v>412</v>
      </c>
      <c r="R7" s="85" t="str">
        <f>HYPERLINK("https://gfi.org/blog/cultivated-meat-a-growing-nomenclature-consensus/")</f>
        <v>https://gfi.org/blog/cultivated-meat-a-growing-nomenclature-consensus/</v>
      </c>
      <c r="S7" s="80" t="s">
        <v>513</v>
      </c>
      <c r="T7" s="80"/>
      <c r="U7" s="80"/>
      <c r="V7" s="85" t="str">
        <f>HYPERLINK("https://pbs.twimg.com/profile_images/1438764765548093442/1FYO4i0I_normal.jpg")</f>
        <v>https://pbs.twimg.com/profile_images/1438764765548093442/1FYO4i0I_normal.jpg</v>
      </c>
      <c r="W7" s="82">
        <v>44473.75146990741</v>
      </c>
      <c r="X7" s="87">
        <v>44473</v>
      </c>
      <c r="Y7" s="83" t="s">
        <v>571</v>
      </c>
      <c r="Z7" s="85" t="str">
        <f>HYPERLINK("https://twitter.com/foodpreneurscom/status/1445086845944090627")</f>
        <v>https://twitter.com/foodpreneurscom/status/1445086845944090627</v>
      </c>
      <c r="AA7" s="80"/>
      <c r="AB7" s="80"/>
      <c r="AC7" s="83" t="s">
        <v>754</v>
      </c>
      <c r="AD7" s="80"/>
      <c r="AE7" s="80" t="b">
        <v>0</v>
      </c>
      <c r="AF7" s="80">
        <v>0</v>
      </c>
      <c r="AG7" s="83" t="s">
        <v>952</v>
      </c>
      <c r="AH7" s="80" t="b">
        <v>0</v>
      </c>
      <c r="AI7" s="80" t="s">
        <v>967</v>
      </c>
      <c r="AJ7" s="80"/>
      <c r="AK7" s="83" t="s">
        <v>952</v>
      </c>
      <c r="AL7" s="80" t="b">
        <v>0</v>
      </c>
      <c r="AM7" s="80">
        <v>0</v>
      </c>
      <c r="AN7" s="83" t="s">
        <v>952</v>
      </c>
      <c r="AO7" s="83" t="s">
        <v>973</v>
      </c>
      <c r="AP7" s="80" t="b">
        <v>0</v>
      </c>
      <c r="AQ7" s="83" t="s">
        <v>754</v>
      </c>
      <c r="AR7" s="80" t="s">
        <v>196</v>
      </c>
      <c r="AS7" s="80">
        <v>0</v>
      </c>
      <c r="AT7" s="80">
        <v>0</v>
      </c>
      <c r="AU7" s="80"/>
      <c r="AV7" s="80"/>
      <c r="AW7" s="80"/>
      <c r="AX7" s="80"/>
      <c r="AY7" s="80"/>
      <c r="AZ7" s="80"/>
      <c r="BA7" s="80"/>
      <c r="BB7" s="80"/>
      <c r="BC7">
        <v>1</v>
      </c>
      <c r="BD7" s="79" t="str">
        <f>REPLACE(INDEX(GroupVertices[Group],MATCH(Edges25[[#This Row],[Vertex 1]],GroupVertices[Vertex],0)),1,1,"")</f>
        <v>5</v>
      </c>
      <c r="BE7" s="79" t="str">
        <f>REPLACE(INDEX(GroupVertices[Group],MATCH(Edges25[[#This Row],[Vertex 2]],GroupVertices[Vertex],0)),1,1,"")</f>
        <v>5</v>
      </c>
      <c r="BF7" s="49">
        <v>1</v>
      </c>
      <c r="BG7" s="50">
        <v>3.4482758620689653</v>
      </c>
      <c r="BH7" s="49">
        <v>0</v>
      </c>
      <c r="BI7" s="50">
        <v>0</v>
      </c>
      <c r="BJ7" s="49">
        <v>0</v>
      </c>
      <c r="BK7" s="50">
        <v>0</v>
      </c>
      <c r="BL7" s="49">
        <v>28</v>
      </c>
      <c r="BM7" s="50">
        <v>96.55172413793103</v>
      </c>
      <c r="BN7" s="49">
        <v>29</v>
      </c>
    </row>
    <row r="8" spans="1:66" ht="15">
      <c r="A8" s="65" t="s">
        <v>238</v>
      </c>
      <c r="B8" s="65" t="s">
        <v>258</v>
      </c>
      <c r="C8" s="66"/>
      <c r="D8" s="67"/>
      <c r="E8" s="66"/>
      <c r="F8" s="69"/>
      <c r="G8" s="66"/>
      <c r="H8" s="70"/>
      <c r="I8" s="71"/>
      <c r="J8" s="71"/>
      <c r="K8" s="35" t="s">
        <v>65</v>
      </c>
      <c r="L8" s="72">
        <v>9</v>
      </c>
      <c r="M8" s="72"/>
      <c r="N8" s="73"/>
      <c r="O8" s="80" t="s">
        <v>406</v>
      </c>
      <c r="P8" s="82">
        <v>44470.68019675926</v>
      </c>
      <c r="Q8" s="80" t="s">
        <v>413</v>
      </c>
      <c r="R8" s="85" t="str">
        <f>HYPERLINK("https://www.fooddive.com/news/75-of-cell-based-meat-companies-prefer-the-term-cultivated-for-their-pro/607500/")</f>
        <v>https://www.fooddive.com/news/75-of-cell-based-meat-companies-prefer-the-term-cultivated-for-their-pro/607500/</v>
      </c>
      <c r="S8" s="80" t="s">
        <v>514</v>
      </c>
      <c r="T8" s="80"/>
      <c r="U8" s="80"/>
      <c r="V8" s="85" t="str">
        <f>HYPERLINK("https://pbs.twimg.com/profile_images/728252706851147776/3hDM_UHX_normal.jpg")</f>
        <v>https://pbs.twimg.com/profile_images/728252706851147776/3hDM_UHX_normal.jpg</v>
      </c>
      <c r="W8" s="82">
        <v>44470.68019675926</v>
      </c>
      <c r="X8" s="87">
        <v>44470</v>
      </c>
      <c r="Y8" s="83" t="s">
        <v>572</v>
      </c>
      <c r="Z8" s="85" t="str">
        <f>HYPERLINK("https://twitter.com/meganpoinski/status/1443973856335732757")</f>
        <v>https://twitter.com/meganpoinski/status/1443973856335732757</v>
      </c>
      <c r="AA8" s="80"/>
      <c r="AB8" s="80"/>
      <c r="AC8" s="83" t="s">
        <v>755</v>
      </c>
      <c r="AD8" s="80"/>
      <c r="AE8" s="80" t="b">
        <v>0</v>
      </c>
      <c r="AF8" s="80">
        <v>15</v>
      </c>
      <c r="AG8" s="83" t="s">
        <v>952</v>
      </c>
      <c r="AH8" s="80" t="b">
        <v>0</v>
      </c>
      <c r="AI8" s="80" t="s">
        <v>967</v>
      </c>
      <c r="AJ8" s="80"/>
      <c r="AK8" s="83" t="s">
        <v>952</v>
      </c>
      <c r="AL8" s="80" t="b">
        <v>0</v>
      </c>
      <c r="AM8" s="80">
        <v>6</v>
      </c>
      <c r="AN8" s="83" t="s">
        <v>952</v>
      </c>
      <c r="AO8" s="83" t="s">
        <v>972</v>
      </c>
      <c r="AP8" s="80" t="b">
        <v>0</v>
      </c>
      <c r="AQ8" s="83" t="s">
        <v>755</v>
      </c>
      <c r="AR8" s="80" t="s">
        <v>408</v>
      </c>
      <c r="AS8" s="80">
        <v>0</v>
      </c>
      <c r="AT8" s="80">
        <v>0</v>
      </c>
      <c r="AU8" s="80"/>
      <c r="AV8" s="80"/>
      <c r="AW8" s="80"/>
      <c r="AX8" s="80"/>
      <c r="AY8" s="80"/>
      <c r="AZ8" s="80"/>
      <c r="BA8" s="80"/>
      <c r="BB8" s="80"/>
      <c r="BC8">
        <v>1</v>
      </c>
      <c r="BD8" s="79" t="str">
        <f>REPLACE(INDEX(GroupVertices[Group],MATCH(Edges25[[#This Row],[Vertex 1]],GroupVertices[Vertex],0)),1,1,"")</f>
        <v>5</v>
      </c>
      <c r="BE8" s="79" t="str">
        <f>REPLACE(INDEX(GroupVertices[Group],MATCH(Edges25[[#This Row],[Vertex 2]],GroupVertices[Vertex],0)),1,1,"")</f>
        <v>5</v>
      </c>
      <c r="BF8" s="49">
        <v>0</v>
      </c>
      <c r="BG8" s="50">
        <v>0</v>
      </c>
      <c r="BH8" s="49">
        <v>0</v>
      </c>
      <c r="BI8" s="50">
        <v>0</v>
      </c>
      <c r="BJ8" s="49">
        <v>0</v>
      </c>
      <c r="BK8" s="50">
        <v>0</v>
      </c>
      <c r="BL8" s="49">
        <v>24</v>
      </c>
      <c r="BM8" s="50">
        <v>100</v>
      </c>
      <c r="BN8" s="49">
        <v>24</v>
      </c>
    </row>
    <row r="9" spans="1:66" ht="15">
      <c r="A9" s="65" t="s">
        <v>239</v>
      </c>
      <c r="B9" s="65" t="s">
        <v>238</v>
      </c>
      <c r="C9" s="66"/>
      <c r="D9" s="67"/>
      <c r="E9" s="66"/>
      <c r="F9" s="69"/>
      <c r="G9" s="66"/>
      <c r="H9" s="70"/>
      <c r="I9" s="71"/>
      <c r="J9" s="71"/>
      <c r="K9" s="35" t="s">
        <v>65</v>
      </c>
      <c r="L9" s="72">
        <v>10</v>
      </c>
      <c r="M9" s="72"/>
      <c r="N9" s="73"/>
      <c r="O9" s="80" t="s">
        <v>408</v>
      </c>
      <c r="P9" s="82">
        <v>44473.7690162037</v>
      </c>
      <c r="Q9" s="80" t="s">
        <v>413</v>
      </c>
      <c r="R9" s="85" t="str">
        <f>HYPERLINK("https://www.fooddive.com/news/75-of-cell-based-meat-companies-prefer-the-term-cultivated-for-their-pro/607500/")</f>
        <v>https://www.fooddive.com/news/75-of-cell-based-meat-companies-prefer-the-term-cultivated-for-their-pro/607500/</v>
      </c>
      <c r="S9" s="80" t="s">
        <v>514</v>
      </c>
      <c r="T9" s="80"/>
      <c r="U9" s="80"/>
      <c r="V9" s="85" t="str">
        <f>HYPERLINK("https://pbs.twimg.com/profile_images/1427725871834566662/N7pMCmBv_normal.jpg")</f>
        <v>https://pbs.twimg.com/profile_images/1427725871834566662/N7pMCmBv_normal.jpg</v>
      </c>
      <c r="W9" s="82">
        <v>44473.7690162037</v>
      </c>
      <c r="X9" s="87">
        <v>44473</v>
      </c>
      <c r="Y9" s="83" t="s">
        <v>573</v>
      </c>
      <c r="Z9" s="85" t="str">
        <f>HYPERLINK("https://twitter.com/welllibrarian/status/1445093207499362312")</f>
        <v>https://twitter.com/welllibrarian/status/1445093207499362312</v>
      </c>
      <c r="AA9" s="80"/>
      <c r="AB9" s="80"/>
      <c r="AC9" s="83" t="s">
        <v>756</v>
      </c>
      <c r="AD9" s="80"/>
      <c r="AE9" s="80" t="b">
        <v>0</v>
      </c>
      <c r="AF9" s="80">
        <v>0</v>
      </c>
      <c r="AG9" s="83" t="s">
        <v>952</v>
      </c>
      <c r="AH9" s="80" t="b">
        <v>0</v>
      </c>
      <c r="AI9" s="80" t="s">
        <v>967</v>
      </c>
      <c r="AJ9" s="80"/>
      <c r="AK9" s="83" t="s">
        <v>952</v>
      </c>
      <c r="AL9" s="80" t="b">
        <v>0</v>
      </c>
      <c r="AM9" s="80">
        <v>6</v>
      </c>
      <c r="AN9" s="83" t="s">
        <v>755</v>
      </c>
      <c r="AO9" s="83" t="s">
        <v>972</v>
      </c>
      <c r="AP9" s="80" t="b">
        <v>0</v>
      </c>
      <c r="AQ9" s="83" t="s">
        <v>755</v>
      </c>
      <c r="AR9" s="80" t="s">
        <v>196</v>
      </c>
      <c r="AS9" s="80">
        <v>0</v>
      </c>
      <c r="AT9" s="80">
        <v>0</v>
      </c>
      <c r="AU9" s="80"/>
      <c r="AV9" s="80"/>
      <c r="AW9" s="80"/>
      <c r="AX9" s="80"/>
      <c r="AY9" s="80"/>
      <c r="AZ9" s="80"/>
      <c r="BA9" s="80"/>
      <c r="BB9" s="80"/>
      <c r="BC9">
        <v>1</v>
      </c>
      <c r="BD9" s="79" t="str">
        <f>REPLACE(INDEX(GroupVertices[Group],MATCH(Edges25[[#This Row],[Vertex 1]],GroupVertices[Vertex],0)),1,1,"")</f>
        <v>5</v>
      </c>
      <c r="BE9" s="79" t="str">
        <f>REPLACE(INDEX(GroupVertices[Group],MATCH(Edges25[[#This Row],[Vertex 2]],GroupVertices[Vertex],0)),1,1,"")</f>
        <v>5</v>
      </c>
      <c r="BF9" s="49"/>
      <c r="BG9" s="50"/>
      <c r="BH9" s="49"/>
      <c r="BI9" s="50"/>
      <c r="BJ9" s="49"/>
      <c r="BK9" s="50"/>
      <c r="BL9" s="49"/>
      <c r="BM9" s="50"/>
      <c r="BN9" s="49"/>
    </row>
    <row r="10" spans="1:66" ht="15">
      <c r="A10" s="65" t="s">
        <v>240</v>
      </c>
      <c r="B10" s="65" t="s">
        <v>240</v>
      </c>
      <c r="C10" s="66"/>
      <c r="D10" s="67"/>
      <c r="E10" s="66"/>
      <c r="F10" s="69"/>
      <c r="G10" s="66"/>
      <c r="H10" s="70"/>
      <c r="I10" s="71"/>
      <c r="J10" s="71"/>
      <c r="K10" s="35" t="s">
        <v>65</v>
      </c>
      <c r="L10" s="72">
        <v>12</v>
      </c>
      <c r="M10" s="72"/>
      <c r="N10" s="73"/>
      <c r="O10" s="80" t="s">
        <v>196</v>
      </c>
      <c r="P10" s="82">
        <v>44473.77988425926</v>
      </c>
      <c r="Q10" s="80" t="s">
        <v>414</v>
      </c>
      <c r="R10" s="85" t="str">
        <f>HYPERLINK("https://www.meatpoultry.com/articles/25595-crowding-on-the-cell-based-bandwagon")</f>
        <v>https://www.meatpoultry.com/articles/25595-crowding-on-the-cell-based-bandwagon</v>
      </c>
      <c r="S10" s="80" t="s">
        <v>515</v>
      </c>
      <c r="T10" s="80"/>
      <c r="U10" s="80"/>
      <c r="V10" s="85" t="str">
        <f>HYPERLINK("https://pbs.twimg.com/profile_images/555855373924442112/9snXes6N_normal.jpeg")</f>
        <v>https://pbs.twimg.com/profile_images/555855373924442112/9snXes6N_normal.jpeg</v>
      </c>
      <c r="W10" s="82">
        <v>44473.77988425926</v>
      </c>
      <c r="X10" s="87">
        <v>44473</v>
      </c>
      <c r="Y10" s="83" t="s">
        <v>574</v>
      </c>
      <c r="Z10" s="85" t="str">
        <f>HYPERLINK("https://twitter.com/meatpoultry/status/1445097144151597060")</f>
        <v>https://twitter.com/meatpoultry/status/1445097144151597060</v>
      </c>
      <c r="AA10" s="80"/>
      <c r="AB10" s="80"/>
      <c r="AC10" s="83" t="s">
        <v>757</v>
      </c>
      <c r="AD10" s="80"/>
      <c r="AE10" s="80" t="b">
        <v>0</v>
      </c>
      <c r="AF10" s="80">
        <v>0</v>
      </c>
      <c r="AG10" s="83" t="s">
        <v>952</v>
      </c>
      <c r="AH10" s="80" t="b">
        <v>0</v>
      </c>
      <c r="AI10" s="80" t="s">
        <v>967</v>
      </c>
      <c r="AJ10" s="80"/>
      <c r="AK10" s="83" t="s">
        <v>952</v>
      </c>
      <c r="AL10" s="80" t="b">
        <v>0</v>
      </c>
      <c r="AM10" s="80">
        <v>0</v>
      </c>
      <c r="AN10" s="83" t="s">
        <v>952</v>
      </c>
      <c r="AO10" s="83" t="s">
        <v>972</v>
      </c>
      <c r="AP10" s="80" t="b">
        <v>0</v>
      </c>
      <c r="AQ10" s="83" t="s">
        <v>757</v>
      </c>
      <c r="AR10" s="80" t="s">
        <v>196</v>
      </c>
      <c r="AS10" s="80">
        <v>0</v>
      </c>
      <c r="AT10" s="80">
        <v>0</v>
      </c>
      <c r="AU10" s="80"/>
      <c r="AV10" s="80"/>
      <c r="AW10" s="80"/>
      <c r="AX10" s="80"/>
      <c r="AY10" s="80"/>
      <c r="AZ10" s="80"/>
      <c r="BA10" s="80"/>
      <c r="BB10" s="80"/>
      <c r="BC10">
        <v>1</v>
      </c>
      <c r="BD10" s="79" t="str">
        <f>REPLACE(INDEX(GroupVertices[Group],MATCH(Edges25[[#This Row],[Vertex 1]],GroupVertices[Vertex],0)),1,1,"")</f>
        <v>2</v>
      </c>
      <c r="BE10" s="79" t="str">
        <f>REPLACE(INDEX(GroupVertices[Group],MATCH(Edges25[[#This Row],[Vertex 2]],GroupVertices[Vertex],0)),1,1,"")</f>
        <v>2</v>
      </c>
      <c r="BF10" s="49">
        <v>0</v>
      </c>
      <c r="BG10" s="50">
        <v>0</v>
      </c>
      <c r="BH10" s="49">
        <v>1</v>
      </c>
      <c r="BI10" s="50">
        <v>6.666666666666667</v>
      </c>
      <c r="BJ10" s="49">
        <v>0</v>
      </c>
      <c r="BK10" s="50">
        <v>0</v>
      </c>
      <c r="BL10" s="49">
        <v>14</v>
      </c>
      <c r="BM10" s="50">
        <v>93.33333333333333</v>
      </c>
      <c r="BN10" s="49">
        <v>15</v>
      </c>
    </row>
    <row r="11" spans="1:66" ht="15">
      <c r="A11" s="65" t="s">
        <v>241</v>
      </c>
      <c r="B11" s="65" t="s">
        <v>241</v>
      </c>
      <c r="C11" s="66"/>
      <c r="D11" s="67"/>
      <c r="E11" s="66"/>
      <c r="F11" s="69"/>
      <c r="G11" s="66"/>
      <c r="H11" s="70"/>
      <c r="I11" s="71"/>
      <c r="J11" s="71"/>
      <c r="K11" s="35" t="s">
        <v>65</v>
      </c>
      <c r="L11" s="72">
        <v>13</v>
      </c>
      <c r="M11" s="72"/>
      <c r="N11" s="73"/>
      <c r="O11" s="80" t="s">
        <v>196</v>
      </c>
      <c r="P11" s="82">
        <v>44473.808854166666</v>
      </c>
      <c r="Q11" s="80" t="s">
        <v>415</v>
      </c>
      <c r="R11" s="85" t="str">
        <f>HYPERLINK("https://www.ecowatch.com/cell-based-food-climate-change-2649951865.html")</f>
        <v>https://www.ecowatch.com/cell-based-food-climate-change-2649951865.html</v>
      </c>
      <c r="S11" s="80" t="s">
        <v>516</v>
      </c>
      <c r="T11" s="80"/>
      <c r="U11" s="80"/>
      <c r="V11" s="85" t="str">
        <f>HYPERLINK("https://pbs.twimg.com/profile_images/1363238813808533505/lbI9GNLD_normal.jpg")</f>
        <v>https://pbs.twimg.com/profile_images/1363238813808533505/lbI9GNLD_normal.jpg</v>
      </c>
      <c r="W11" s="82">
        <v>44473.808854166666</v>
      </c>
      <c r="X11" s="87">
        <v>44473</v>
      </c>
      <c r="Y11" s="83" t="s">
        <v>575</v>
      </c>
      <c r="Z11" s="85" t="str">
        <f>HYPERLINK("https://twitter.com/b1allpurpose/status/1445107644310568978")</f>
        <v>https://twitter.com/b1allpurpose/status/1445107644310568978</v>
      </c>
      <c r="AA11" s="80"/>
      <c r="AB11" s="80"/>
      <c r="AC11" s="83" t="s">
        <v>758</v>
      </c>
      <c r="AD11" s="80"/>
      <c r="AE11" s="80" t="b">
        <v>0</v>
      </c>
      <c r="AF11" s="80">
        <v>0</v>
      </c>
      <c r="AG11" s="83" t="s">
        <v>952</v>
      </c>
      <c r="AH11" s="80" t="b">
        <v>0</v>
      </c>
      <c r="AI11" s="80" t="s">
        <v>967</v>
      </c>
      <c r="AJ11" s="80"/>
      <c r="AK11" s="83" t="s">
        <v>952</v>
      </c>
      <c r="AL11" s="80" t="b">
        <v>0</v>
      </c>
      <c r="AM11" s="80">
        <v>0</v>
      </c>
      <c r="AN11" s="83" t="s">
        <v>952</v>
      </c>
      <c r="AO11" s="83" t="s">
        <v>972</v>
      </c>
      <c r="AP11" s="80" t="b">
        <v>0</v>
      </c>
      <c r="AQ11" s="83" t="s">
        <v>758</v>
      </c>
      <c r="AR11" s="80" t="s">
        <v>196</v>
      </c>
      <c r="AS11" s="80">
        <v>0</v>
      </c>
      <c r="AT11" s="80">
        <v>0</v>
      </c>
      <c r="AU11" s="80"/>
      <c r="AV11" s="80"/>
      <c r="AW11" s="80"/>
      <c r="AX11" s="80"/>
      <c r="AY11" s="80"/>
      <c r="AZ11" s="80"/>
      <c r="BA11" s="80"/>
      <c r="BB11" s="80"/>
      <c r="BC11">
        <v>1</v>
      </c>
      <c r="BD11" s="79" t="str">
        <f>REPLACE(INDEX(GroupVertices[Group],MATCH(Edges25[[#This Row],[Vertex 1]],GroupVertices[Vertex],0)),1,1,"")</f>
        <v>2</v>
      </c>
      <c r="BE11" s="79" t="str">
        <f>REPLACE(INDEX(GroupVertices[Group],MATCH(Edges25[[#This Row],[Vertex 2]],GroupVertices[Vertex],0)),1,1,"")</f>
        <v>2</v>
      </c>
      <c r="BF11" s="49">
        <v>1</v>
      </c>
      <c r="BG11" s="50">
        <v>3.7037037037037037</v>
      </c>
      <c r="BH11" s="49">
        <v>1</v>
      </c>
      <c r="BI11" s="50">
        <v>3.7037037037037037</v>
      </c>
      <c r="BJ11" s="49">
        <v>0</v>
      </c>
      <c r="BK11" s="50">
        <v>0</v>
      </c>
      <c r="BL11" s="49">
        <v>25</v>
      </c>
      <c r="BM11" s="50">
        <v>92.5925925925926</v>
      </c>
      <c r="BN11" s="49">
        <v>27</v>
      </c>
    </row>
    <row r="12" spans="1:66" ht="15">
      <c r="A12" s="65" t="s">
        <v>242</v>
      </c>
      <c r="B12" s="65" t="s">
        <v>242</v>
      </c>
      <c r="C12" s="66"/>
      <c r="D12" s="67"/>
      <c r="E12" s="66"/>
      <c r="F12" s="69"/>
      <c r="G12" s="66"/>
      <c r="H12" s="70"/>
      <c r="I12" s="71"/>
      <c r="J12" s="71"/>
      <c r="K12" s="35" t="s">
        <v>65</v>
      </c>
      <c r="L12" s="72">
        <v>14</v>
      </c>
      <c r="M12" s="72"/>
      <c r="N12" s="73"/>
      <c r="O12" s="80" t="s">
        <v>196</v>
      </c>
      <c r="P12" s="82">
        <v>44473.99982638889</v>
      </c>
      <c r="Q12" s="80" t="s">
        <v>416</v>
      </c>
      <c r="R12" s="85" t="str">
        <f>HYPERLINK("https://www.fooddive.com/news/75-of-cell-based-meat-companies-prefer-the-term-cultivated-for-their-pro/607500/")</f>
        <v>https://www.fooddive.com/news/75-of-cell-based-meat-companies-prefer-the-term-cultivated-for-their-pro/607500/</v>
      </c>
      <c r="S12" s="80" t="s">
        <v>514</v>
      </c>
      <c r="T12" s="80"/>
      <c r="U12" s="80"/>
      <c r="V12" s="85" t="str">
        <f>HYPERLINK("https://pbs.twimg.com/profile_images/1099032399181217799/vPCULVTS_normal.png")</f>
        <v>https://pbs.twimg.com/profile_images/1099032399181217799/vPCULVTS_normal.png</v>
      </c>
      <c r="W12" s="82">
        <v>44473.99982638889</v>
      </c>
      <c r="X12" s="87">
        <v>44473</v>
      </c>
      <c r="Y12" s="83" t="s">
        <v>576</v>
      </c>
      <c r="Z12" s="85" t="str">
        <f>HYPERLINK("https://twitter.com/joshuamarch/status/1445176849340911617")</f>
        <v>https://twitter.com/joshuamarch/status/1445176849340911617</v>
      </c>
      <c r="AA12" s="80"/>
      <c r="AB12" s="80"/>
      <c r="AC12" s="83" t="s">
        <v>759</v>
      </c>
      <c r="AD12" s="80"/>
      <c r="AE12" s="80" t="b">
        <v>0</v>
      </c>
      <c r="AF12" s="80">
        <v>6</v>
      </c>
      <c r="AG12" s="83" t="s">
        <v>952</v>
      </c>
      <c r="AH12" s="80" t="b">
        <v>0</v>
      </c>
      <c r="AI12" s="80" t="s">
        <v>967</v>
      </c>
      <c r="AJ12" s="80"/>
      <c r="AK12" s="83" t="s">
        <v>952</v>
      </c>
      <c r="AL12" s="80" t="b">
        <v>0</v>
      </c>
      <c r="AM12" s="80">
        <v>0</v>
      </c>
      <c r="AN12" s="83" t="s">
        <v>952</v>
      </c>
      <c r="AO12" s="83" t="s">
        <v>972</v>
      </c>
      <c r="AP12" s="80" t="b">
        <v>0</v>
      </c>
      <c r="AQ12" s="83" t="s">
        <v>759</v>
      </c>
      <c r="AR12" s="80" t="s">
        <v>196</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2</v>
      </c>
      <c r="BF12" s="49">
        <v>0</v>
      </c>
      <c r="BG12" s="50">
        <v>0</v>
      </c>
      <c r="BH12" s="49">
        <v>2</v>
      </c>
      <c r="BI12" s="50">
        <v>5.714285714285714</v>
      </c>
      <c r="BJ12" s="49">
        <v>0</v>
      </c>
      <c r="BK12" s="50">
        <v>0</v>
      </c>
      <c r="BL12" s="49">
        <v>33</v>
      </c>
      <c r="BM12" s="50">
        <v>94.28571428571429</v>
      </c>
      <c r="BN12" s="49">
        <v>35</v>
      </c>
    </row>
    <row r="13" spans="1:66" ht="15">
      <c r="A13" s="65" t="s">
        <v>243</v>
      </c>
      <c r="B13" s="65" t="s">
        <v>369</v>
      </c>
      <c r="C13" s="66"/>
      <c r="D13" s="67"/>
      <c r="E13" s="66"/>
      <c r="F13" s="69"/>
      <c r="G13" s="66"/>
      <c r="H13" s="70"/>
      <c r="I13" s="71"/>
      <c r="J13" s="71"/>
      <c r="K13" s="35" t="s">
        <v>65</v>
      </c>
      <c r="L13" s="72">
        <v>15</v>
      </c>
      <c r="M13" s="72"/>
      <c r="N13" s="73"/>
      <c r="O13" s="80" t="s">
        <v>409</v>
      </c>
      <c r="P13" s="82">
        <v>44474.633738425924</v>
      </c>
      <c r="Q13" s="80" t="s">
        <v>417</v>
      </c>
      <c r="R13" s="85" t="str">
        <f>HYPERLINK("https://www.theguardian.com/environment/2020/dec/02/no-kill-lab-grown-meat-to-go-on-sale-for-first-time")</f>
        <v>https://www.theguardian.com/environment/2020/dec/02/no-kill-lab-grown-meat-to-go-on-sale-for-first-time</v>
      </c>
      <c r="S13" s="80" t="s">
        <v>517</v>
      </c>
      <c r="T13" s="80"/>
      <c r="U13" s="80"/>
      <c r="V13" s="85" t="str">
        <f>HYPERLINK("https://pbs.twimg.com/profile_images/1402397441979260928/d_CuOnwk_normal.jpg")</f>
        <v>https://pbs.twimg.com/profile_images/1402397441979260928/d_CuOnwk_normal.jpg</v>
      </c>
      <c r="W13" s="82">
        <v>44474.633738425924</v>
      </c>
      <c r="X13" s="87">
        <v>44474</v>
      </c>
      <c r="Y13" s="83" t="s">
        <v>577</v>
      </c>
      <c r="Z13" s="85" t="str">
        <f>HYPERLINK("https://twitter.com/chill_purr/status/1445406570817413120")</f>
        <v>https://twitter.com/chill_purr/status/1445406570817413120</v>
      </c>
      <c r="AA13" s="80"/>
      <c r="AB13" s="80"/>
      <c r="AC13" s="83" t="s">
        <v>760</v>
      </c>
      <c r="AD13" s="83" t="s">
        <v>939</v>
      </c>
      <c r="AE13" s="80" t="b">
        <v>0</v>
      </c>
      <c r="AF13" s="80">
        <v>0</v>
      </c>
      <c r="AG13" s="83" t="s">
        <v>954</v>
      </c>
      <c r="AH13" s="80" t="b">
        <v>0</v>
      </c>
      <c r="AI13" s="80" t="s">
        <v>967</v>
      </c>
      <c r="AJ13" s="80"/>
      <c r="AK13" s="83" t="s">
        <v>952</v>
      </c>
      <c r="AL13" s="80" t="b">
        <v>0</v>
      </c>
      <c r="AM13" s="80">
        <v>0</v>
      </c>
      <c r="AN13" s="83" t="s">
        <v>952</v>
      </c>
      <c r="AO13" s="83" t="s">
        <v>972</v>
      </c>
      <c r="AP13" s="80" t="b">
        <v>0</v>
      </c>
      <c r="AQ13" s="83" t="s">
        <v>939</v>
      </c>
      <c r="AR13" s="80" t="s">
        <v>196</v>
      </c>
      <c r="AS13" s="80">
        <v>0</v>
      </c>
      <c r="AT13" s="80">
        <v>0</v>
      </c>
      <c r="AU13" s="80"/>
      <c r="AV13" s="80"/>
      <c r="AW13" s="80"/>
      <c r="AX13" s="80"/>
      <c r="AY13" s="80"/>
      <c r="AZ13" s="80"/>
      <c r="BA13" s="80"/>
      <c r="BB13" s="80"/>
      <c r="BC13">
        <v>1</v>
      </c>
      <c r="BD13" s="79" t="str">
        <f>REPLACE(INDEX(GroupVertices[Group],MATCH(Edges25[[#This Row],[Vertex 1]],GroupVertices[Vertex],0)),1,1,"")</f>
        <v>27</v>
      </c>
      <c r="BE13" s="79" t="str">
        <f>REPLACE(INDEX(GroupVertices[Group],MATCH(Edges25[[#This Row],[Vertex 2]],GroupVertices[Vertex],0)),1,1,"")</f>
        <v>27</v>
      </c>
      <c r="BF13" s="49">
        <v>0</v>
      </c>
      <c r="BG13" s="50">
        <v>0</v>
      </c>
      <c r="BH13" s="49">
        <v>0</v>
      </c>
      <c r="BI13" s="50">
        <v>0</v>
      </c>
      <c r="BJ13" s="49">
        <v>0</v>
      </c>
      <c r="BK13" s="50">
        <v>0</v>
      </c>
      <c r="BL13" s="49">
        <v>36</v>
      </c>
      <c r="BM13" s="50">
        <v>100</v>
      </c>
      <c r="BN13" s="49">
        <v>36</v>
      </c>
    </row>
    <row r="14" spans="1:66" ht="15">
      <c r="A14" s="65" t="s">
        <v>244</v>
      </c>
      <c r="B14" s="65" t="s">
        <v>370</v>
      </c>
      <c r="C14" s="66"/>
      <c r="D14" s="67"/>
      <c r="E14" s="66"/>
      <c r="F14" s="69"/>
      <c r="G14" s="66"/>
      <c r="H14" s="70"/>
      <c r="I14" s="71"/>
      <c r="J14" s="71"/>
      <c r="K14" s="35" t="s">
        <v>65</v>
      </c>
      <c r="L14" s="72">
        <v>16</v>
      </c>
      <c r="M14" s="72"/>
      <c r="N14" s="73"/>
      <c r="O14" s="80" t="s">
        <v>406</v>
      </c>
      <c r="P14" s="82">
        <v>44474.77087962963</v>
      </c>
      <c r="Q14" s="80" t="s">
        <v>418</v>
      </c>
      <c r="R14" s="85" t="str">
        <f>HYPERLINK("https://www.supermarketperimeter.com/articles/7225-cell-based-meat-start-ups-on-the-rise-while-regulatory-approval-remains-iffy")</f>
        <v>https://www.supermarketperimeter.com/articles/7225-cell-based-meat-start-ups-on-the-rise-while-regulatory-approval-remains-iffy</v>
      </c>
      <c r="S14" s="80" t="s">
        <v>518</v>
      </c>
      <c r="T14" s="83" t="s">
        <v>548</v>
      </c>
      <c r="U14" s="80"/>
      <c r="V14" s="85" t="str">
        <f>HYPERLINK("https://pbs.twimg.com/profile_images/1234525508643303426/1HEc46Lj_normal.jpg")</f>
        <v>https://pbs.twimg.com/profile_images/1234525508643303426/1HEc46Lj_normal.jpg</v>
      </c>
      <c r="W14" s="82">
        <v>44474.77087962963</v>
      </c>
      <c r="X14" s="87">
        <v>44474</v>
      </c>
      <c r="Y14" s="83" t="s">
        <v>578</v>
      </c>
      <c r="Z14" s="85" t="str">
        <f>HYPERLINK("https://twitter.com/smperimeter/status/1445456269041537027")</f>
        <v>https://twitter.com/smperimeter/status/1445456269041537027</v>
      </c>
      <c r="AA14" s="80"/>
      <c r="AB14" s="80"/>
      <c r="AC14" s="83" t="s">
        <v>761</v>
      </c>
      <c r="AD14" s="80"/>
      <c r="AE14" s="80" t="b">
        <v>0</v>
      </c>
      <c r="AF14" s="80">
        <v>0</v>
      </c>
      <c r="AG14" s="83" t="s">
        <v>952</v>
      </c>
      <c r="AH14" s="80" t="b">
        <v>0</v>
      </c>
      <c r="AI14" s="80" t="s">
        <v>967</v>
      </c>
      <c r="AJ14" s="80"/>
      <c r="AK14" s="83" t="s">
        <v>952</v>
      </c>
      <c r="AL14" s="80" t="b">
        <v>0</v>
      </c>
      <c r="AM14" s="80">
        <v>0</v>
      </c>
      <c r="AN14" s="83" t="s">
        <v>952</v>
      </c>
      <c r="AO14" s="83" t="s">
        <v>974</v>
      </c>
      <c r="AP14" s="80" t="b">
        <v>0</v>
      </c>
      <c r="AQ14" s="83" t="s">
        <v>761</v>
      </c>
      <c r="AR14" s="80" t="s">
        <v>196</v>
      </c>
      <c r="AS14" s="80">
        <v>0</v>
      </c>
      <c r="AT14" s="80">
        <v>0</v>
      </c>
      <c r="AU14" s="80"/>
      <c r="AV14" s="80"/>
      <c r="AW14" s="80"/>
      <c r="AX14" s="80"/>
      <c r="AY14" s="80"/>
      <c r="AZ14" s="80"/>
      <c r="BA14" s="80"/>
      <c r="BB14" s="80"/>
      <c r="BC14">
        <v>1</v>
      </c>
      <c r="BD14" s="79" t="str">
        <f>REPLACE(INDEX(GroupVertices[Group],MATCH(Edges25[[#This Row],[Vertex 1]],GroupVertices[Vertex],0)),1,1,"")</f>
        <v>26</v>
      </c>
      <c r="BE14" s="79" t="str">
        <f>REPLACE(INDEX(GroupVertices[Group],MATCH(Edges25[[#This Row],[Vertex 2]],GroupVertices[Vertex],0)),1,1,"")</f>
        <v>26</v>
      </c>
      <c r="BF14" s="49">
        <v>1</v>
      </c>
      <c r="BG14" s="50">
        <v>4.545454545454546</v>
      </c>
      <c r="BH14" s="49">
        <v>0</v>
      </c>
      <c r="BI14" s="50">
        <v>0</v>
      </c>
      <c r="BJ14" s="49">
        <v>0</v>
      </c>
      <c r="BK14" s="50">
        <v>0</v>
      </c>
      <c r="BL14" s="49">
        <v>21</v>
      </c>
      <c r="BM14" s="50">
        <v>95.45454545454545</v>
      </c>
      <c r="BN14" s="49">
        <v>22</v>
      </c>
    </row>
    <row r="15" spans="1:66" ht="15">
      <c r="A15" s="65" t="s">
        <v>245</v>
      </c>
      <c r="B15" s="65" t="s">
        <v>245</v>
      </c>
      <c r="C15" s="66"/>
      <c r="D15" s="67"/>
      <c r="E15" s="66"/>
      <c r="F15" s="69"/>
      <c r="G15" s="66"/>
      <c r="H15" s="70"/>
      <c r="I15" s="71"/>
      <c r="J15" s="71"/>
      <c r="K15" s="35" t="s">
        <v>65</v>
      </c>
      <c r="L15" s="72">
        <v>17</v>
      </c>
      <c r="M15" s="72"/>
      <c r="N15" s="73"/>
      <c r="O15" s="80" t="s">
        <v>196</v>
      </c>
      <c r="P15" s="82">
        <v>44474.79329861111</v>
      </c>
      <c r="Q15" s="80" t="s">
        <v>419</v>
      </c>
      <c r="R15" s="80"/>
      <c r="S15" s="80"/>
      <c r="T15" s="80"/>
      <c r="U15" s="85" t="str">
        <f>HYPERLINK("https://pbs.twimg.com/media/FA9SLDXUcAUJS4U.jpg")</f>
        <v>https://pbs.twimg.com/media/FA9SLDXUcAUJS4U.jpg</v>
      </c>
      <c r="V15" s="85" t="str">
        <f>HYPERLINK("https://pbs.twimg.com/media/FA9SLDXUcAUJS4U.jpg")</f>
        <v>https://pbs.twimg.com/media/FA9SLDXUcAUJS4U.jpg</v>
      </c>
      <c r="W15" s="82">
        <v>44474.79329861111</v>
      </c>
      <c r="X15" s="87">
        <v>44474</v>
      </c>
      <c r="Y15" s="83" t="s">
        <v>579</v>
      </c>
      <c r="Z15" s="85" t="str">
        <f>HYPERLINK("https://twitter.com/asifood/status/1445464395379712008")</f>
        <v>https://twitter.com/asifood/status/1445464395379712008</v>
      </c>
      <c r="AA15" s="80"/>
      <c r="AB15" s="80"/>
      <c r="AC15" s="83" t="s">
        <v>762</v>
      </c>
      <c r="AD15" s="80"/>
      <c r="AE15" s="80" t="b">
        <v>0</v>
      </c>
      <c r="AF15" s="80">
        <v>0</v>
      </c>
      <c r="AG15" s="83" t="s">
        <v>952</v>
      </c>
      <c r="AH15" s="80" t="b">
        <v>0</v>
      </c>
      <c r="AI15" s="80" t="s">
        <v>967</v>
      </c>
      <c r="AJ15" s="80"/>
      <c r="AK15" s="83" t="s">
        <v>952</v>
      </c>
      <c r="AL15" s="80" t="b">
        <v>0</v>
      </c>
      <c r="AM15" s="80">
        <v>0</v>
      </c>
      <c r="AN15" s="83" t="s">
        <v>952</v>
      </c>
      <c r="AO15" s="83" t="s">
        <v>975</v>
      </c>
      <c r="AP15" s="80" t="b">
        <v>0</v>
      </c>
      <c r="AQ15" s="83" t="s">
        <v>762</v>
      </c>
      <c r="AR15" s="80" t="s">
        <v>196</v>
      </c>
      <c r="AS15" s="80">
        <v>0</v>
      </c>
      <c r="AT15" s="80">
        <v>0</v>
      </c>
      <c r="AU15" s="80"/>
      <c r="AV15" s="80"/>
      <c r="AW15" s="80"/>
      <c r="AX15" s="80"/>
      <c r="AY15" s="80"/>
      <c r="AZ15" s="80"/>
      <c r="BA15" s="80"/>
      <c r="BB15" s="80"/>
      <c r="BC15">
        <v>1</v>
      </c>
      <c r="BD15" s="79" t="str">
        <f>REPLACE(INDEX(GroupVertices[Group],MATCH(Edges25[[#This Row],[Vertex 1]],GroupVertices[Vertex],0)),1,1,"")</f>
        <v>2</v>
      </c>
      <c r="BE15" s="79" t="str">
        <f>REPLACE(INDEX(GroupVertices[Group],MATCH(Edges25[[#This Row],[Vertex 2]],GroupVertices[Vertex],0)),1,1,"")</f>
        <v>2</v>
      </c>
      <c r="BF15" s="49">
        <v>1</v>
      </c>
      <c r="BG15" s="50">
        <v>3.0303030303030303</v>
      </c>
      <c r="BH15" s="49">
        <v>0</v>
      </c>
      <c r="BI15" s="50">
        <v>0</v>
      </c>
      <c r="BJ15" s="49">
        <v>0</v>
      </c>
      <c r="BK15" s="50">
        <v>0</v>
      </c>
      <c r="BL15" s="49">
        <v>32</v>
      </c>
      <c r="BM15" s="50">
        <v>96.96969696969697</v>
      </c>
      <c r="BN15" s="49">
        <v>33</v>
      </c>
    </row>
    <row r="16" spans="1:66" ht="15">
      <c r="A16" s="65" t="s">
        <v>246</v>
      </c>
      <c r="B16" s="65" t="s">
        <v>319</v>
      </c>
      <c r="C16" s="66"/>
      <c r="D16" s="67"/>
      <c r="E16" s="66"/>
      <c r="F16" s="69"/>
      <c r="G16" s="66"/>
      <c r="H16" s="70"/>
      <c r="I16" s="71"/>
      <c r="J16" s="71"/>
      <c r="K16" s="35" t="s">
        <v>65</v>
      </c>
      <c r="L16" s="72">
        <v>18</v>
      </c>
      <c r="M16" s="72"/>
      <c r="N16" s="73"/>
      <c r="O16" s="80" t="s">
        <v>408</v>
      </c>
      <c r="P16" s="82">
        <v>44474.89226851852</v>
      </c>
      <c r="Q16" s="80" t="s">
        <v>420</v>
      </c>
      <c r="R16" s="85" t="str">
        <f>HYPERLINK("https://vision4thefuture.co/lab-made-dairy-products/")</f>
        <v>https://vision4thefuture.co/lab-made-dairy-products/</v>
      </c>
      <c r="S16" s="80" t="s">
        <v>519</v>
      </c>
      <c r="T16" s="83" t="s">
        <v>549</v>
      </c>
      <c r="U16" s="80"/>
      <c r="V16" s="85" t="str">
        <f>HYPERLINK("https://pbs.twimg.com/profile_images/1082814916959059969/2QZgsWM9_normal.jpg")</f>
        <v>https://pbs.twimg.com/profile_images/1082814916959059969/2QZgsWM9_normal.jpg</v>
      </c>
      <c r="W16" s="82">
        <v>44474.89226851852</v>
      </c>
      <c r="X16" s="87">
        <v>44474</v>
      </c>
      <c r="Y16" s="83" t="s">
        <v>580</v>
      </c>
      <c r="Z16" s="85" t="str">
        <f>HYPERLINK("https://twitter.com/sirlambomoon/status/1445500259019341830")</f>
        <v>https://twitter.com/sirlambomoon/status/1445500259019341830</v>
      </c>
      <c r="AA16" s="80"/>
      <c r="AB16" s="80"/>
      <c r="AC16" s="83" t="s">
        <v>763</v>
      </c>
      <c r="AD16" s="80"/>
      <c r="AE16" s="80" t="b">
        <v>0</v>
      </c>
      <c r="AF16" s="80">
        <v>0</v>
      </c>
      <c r="AG16" s="83" t="s">
        <v>952</v>
      </c>
      <c r="AH16" s="80" t="b">
        <v>0</v>
      </c>
      <c r="AI16" s="80" t="s">
        <v>967</v>
      </c>
      <c r="AJ16" s="80"/>
      <c r="AK16" s="83" t="s">
        <v>952</v>
      </c>
      <c r="AL16" s="80" t="b">
        <v>0</v>
      </c>
      <c r="AM16" s="80">
        <v>39</v>
      </c>
      <c r="AN16" s="83" t="s">
        <v>847</v>
      </c>
      <c r="AO16" s="83" t="s">
        <v>972</v>
      </c>
      <c r="AP16" s="80" t="b">
        <v>0</v>
      </c>
      <c r="AQ16" s="83" t="s">
        <v>847</v>
      </c>
      <c r="AR16" s="80" t="s">
        <v>196</v>
      </c>
      <c r="AS16" s="80">
        <v>0</v>
      </c>
      <c r="AT16" s="80">
        <v>0</v>
      </c>
      <c r="AU16" s="80"/>
      <c r="AV16" s="80"/>
      <c r="AW16" s="80"/>
      <c r="AX16" s="80"/>
      <c r="AY16" s="80"/>
      <c r="AZ16" s="80"/>
      <c r="BA16" s="80"/>
      <c r="BB16" s="80"/>
      <c r="BC16">
        <v>1</v>
      </c>
      <c r="BD16" s="79" t="str">
        <f>REPLACE(INDEX(GroupVertices[Group],MATCH(Edges25[[#This Row],[Vertex 1]],GroupVertices[Vertex],0)),1,1,"")</f>
        <v>7</v>
      </c>
      <c r="BE16" s="79" t="str">
        <f>REPLACE(INDEX(GroupVertices[Group],MATCH(Edges25[[#This Row],[Vertex 2]],GroupVertices[Vertex],0)),1,1,"")</f>
        <v>7</v>
      </c>
      <c r="BF16" s="49">
        <v>0</v>
      </c>
      <c r="BG16" s="50">
        <v>0</v>
      </c>
      <c r="BH16" s="49">
        <v>0</v>
      </c>
      <c r="BI16" s="50">
        <v>0</v>
      </c>
      <c r="BJ16" s="49">
        <v>0</v>
      </c>
      <c r="BK16" s="50">
        <v>0</v>
      </c>
      <c r="BL16" s="49">
        <v>34</v>
      </c>
      <c r="BM16" s="50">
        <v>100</v>
      </c>
      <c r="BN16" s="49">
        <v>34</v>
      </c>
    </row>
    <row r="17" spans="1:66" ht="15">
      <c r="A17" s="65" t="s">
        <v>247</v>
      </c>
      <c r="B17" s="65" t="s">
        <v>319</v>
      </c>
      <c r="C17" s="66"/>
      <c r="D17" s="67"/>
      <c r="E17" s="66"/>
      <c r="F17" s="69"/>
      <c r="G17" s="66"/>
      <c r="H17" s="70"/>
      <c r="I17" s="71"/>
      <c r="J17" s="71"/>
      <c r="K17" s="35" t="s">
        <v>65</v>
      </c>
      <c r="L17" s="72">
        <v>19</v>
      </c>
      <c r="M17" s="72"/>
      <c r="N17" s="73"/>
      <c r="O17" s="80" t="s">
        <v>408</v>
      </c>
      <c r="P17" s="82">
        <v>44474.893692129626</v>
      </c>
      <c r="Q17" s="80" t="s">
        <v>420</v>
      </c>
      <c r="R17" s="85" t="str">
        <f>HYPERLINK("https://vision4thefuture.co/lab-made-dairy-products/")</f>
        <v>https://vision4thefuture.co/lab-made-dairy-products/</v>
      </c>
      <c r="S17" s="80" t="s">
        <v>519</v>
      </c>
      <c r="T17" s="83" t="s">
        <v>549</v>
      </c>
      <c r="U17" s="80"/>
      <c r="V17" s="85" t="str">
        <f>HYPERLINK("https://pbs.twimg.com/profile_images/1293599208209965056/wX7mfnMX_normal.jpg")</f>
        <v>https://pbs.twimg.com/profile_images/1293599208209965056/wX7mfnMX_normal.jpg</v>
      </c>
      <c r="W17" s="82">
        <v>44474.893692129626</v>
      </c>
      <c r="X17" s="87">
        <v>44474</v>
      </c>
      <c r="Y17" s="83" t="s">
        <v>581</v>
      </c>
      <c r="Z17" s="85" t="str">
        <f>HYPERLINK("https://twitter.com/whatisayisnt/status/1445500773677240320")</f>
        <v>https://twitter.com/whatisayisnt/status/1445500773677240320</v>
      </c>
      <c r="AA17" s="80"/>
      <c r="AB17" s="80"/>
      <c r="AC17" s="83" t="s">
        <v>764</v>
      </c>
      <c r="AD17" s="80"/>
      <c r="AE17" s="80" t="b">
        <v>0</v>
      </c>
      <c r="AF17" s="80">
        <v>0</v>
      </c>
      <c r="AG17" s="83" t="s">
        <v>952</v>
      </c>
      <c r="AH17" s="80" t="b">
        <v>0</v>
      </c>
      <c r="AI17" s="80" t="s">
        <v>967</v>
      </c>
      <c r="AJ17" s="80"/>
      <c r="AK17" s="83" t="s">
        <v>952</v>
      </c>
      <c r="AL17" s="80" t="b">
        <v>0</v>
      </c>
      <c r="AM17" s="80">
        <v>39</v>
      </c>
      <c r="AN17" s="83" t="s">
        <v>847</v>
      </c>
      <c r="AO17" s="83" t="s">
        <v>972</v>
      </c>
      <c r="AP17" s="80" t="b">
        <v>0</v>
      </c>
      <c r="AQ17" s="83" t="s">
        <v>847</v>
      </c>
      <c r="AR17" s="80" t="s">
        <v>196</v>
      </c>
      <c r="AS17" s="80">
        <v>0</v>
      </c>
      <c r="AT17" s="80">
        <v>0</v>
      </c>
      <c r="AU17" s="80"/>
      <c r="AV17" s="80"/>
      <c r="AW17" s="80"/>
      <c r="AX17" s="80"/>
      <c r="AY17" s="80"/>
      <c r="AZ17" s="80"/>
      <c r="BA17" s="80"/>
      <c r="BB17" s="80"/>
      <c r="BC17">
        <v>1</v>
      </c>
      <c r="BD17" s="79" t="str">
        <f>REPLACE(INDEX(GroupVertices[Group],MATCH(Edges25[[#This Row],[Vertex 1]],GroupVertices[Vertex],0)),1,1,"")</f>
        <v>7</v>
      </c>
      <c r="BE17" s="79" t="str">
        <f>REPLACE(INDEX(GroupVertices[Group],MATCH(Edges25[[#This Row],[Vertex 2]],GroupVertices[Vertex],0)),1,1,"")</f>
        <v>7</v>
      </c>
      <c r="BF17" s="49">
        <v>0</v>
      </c>
      <c r="BG17" s="50">
        <v>0</v>
      </c>
      <c r="BH17" s="49">
        <v>0</v>
      </c>
      <c r="BI17" s="50">
        <v>0</v>
      </c>
      <c r="BJ17" s="49">
        <v>0</v>
      </c>
      <c r="BK17" s="50">
        <v>0</v>
      </c>
      <c r="BL17" s="49">
        <v>34</v>
      </c>
      <c r="BM17" s="50">
        <v>100</v>
      </c>
      <c r="BN17" s="49">
        <v>34</v>
      </c>
    </row>
    <row r="18" spans="1:66" ht="15">
      <c r="A18" s="65" t="s">
        <v>248</v>
      </c>
      <c r="B18" s="65" t="s">
        <v>248</v>
      </c>
      <c r="C18" s="66"/>
      <c r="D18" s="67"/>
      <c r="E18" s="66"/>
      <c r="F18" s="69"/>
      <c r="G18" s="66"/>
      <c r="H18" s="70"/>
      <c r="I18" s="71"/>
      <c r="J18" s="71"/>
      <c r="K18" s="35" t="s">
        <v>65</v>
      </c>
      <c r="L18" s="72">
        <v>20</v>
      </c>
      <c r="M18" s="72"/>
      <c r="N18" s="73"/>
      <c r="O18" s="80" t="s">
        <v>196</v>
      </c>
      <c r="P18" s="82">
        <v>44475.14221064815</v>
      </c>
      <c r="Q18" s="80" t="s">
        <v>421</v>
      </c>
      <c r="R18" s="85" t="str">
        <f>HYPERLINK("https://facebook.com/170838427821860/posts/373108070928227/?d=n")</f>
        <v>https://facebook.com/170838427821860/posts/373108070928227/?d=n</v>
      </c>
      <c r="S18" s="80" t="s">
        <v>520</v>
      </c>
      <c r="T18" s="83" t="s">
        <v>550</v>
      </c>
      <c r="U18" s="85" t="str">
        <f>HYPERLINK("https://pbs.twimg.com/media/FA_FMk6UYAcGEe-.jpg")</f>
        <v>https://pbs.twimg.com/media/FA_FMk6UYAcGEe-.jpg</v>
      </c>
      <c r="V18" s="85" t="str">
        <f>HYPERLINK("https://pbs.twimg.com/media/FA_FMk6UYAcGEe-.jpg")</f>
        <v>https://pbs.twimg.com/media/FA_FMk6UYAcGEe-.jpg</v>
      </c>
      <c r="W18" s="82">
        <v>44475.14221064815</v>
      </c>
      <c r="X18" s="87">
        <v>44475</v>
      </c>
      <c r="Y18" s="83" t="s">
        <v>582</v>
      </c>
      <c r="Z18" s="85" t="str">
        <f>HYPERLINK("https://twitter.com/greenative_co/status/1445590835890851842")</f>
        <v>https://twitter.com/greenative_co/status/1445590835890851842</v>
      </c>
      <c r="AA18" s="80"/>
      <c r="AB18" s="80"/>
      <c r="AC18" s="83" t="s">
        <v>765</v>
      </c>
      <c r="AD18" s="80"/>
      <c r="AE18" s="80" t="b">
        <v>0</v>
      </c>
      <c r="AF18" s="80">
        <v>1</v>
      </c>
      <c r="AG18" s="83" t="s">
        <v>952</v>
      </c>
      <c r="AH18" s="80" t="b">
        <v>0</v>
      </c>
      <c r="AI18" s="80" t="s">
        <v>968</v>
      </c>
      <c r="AJ18" s="80"/>
      <c r="AK18" s="83" t="s">
        <v>952</v>
      </c>
      <c r="AL18" s="80" t="b">
        <v>0</v>
      </c>
      <c r="AM18" s="80">
        <v>0</v>
      </c>
      <c r="AN18" s="83" t="s">
        <v>952</v>
      </c>
      <c r="AO18" s="83" t="s">
        <v>976</v>
      </c>
      <c r="AP18" s="80" t="b">
        <v>0</v>
      </c>
      <c r="AQ18" s="83" t="s">
        <v>765</v>
      </c>
      <c r="AR18" s="80" t="s">
        <v>196</v>
      </c>
      <c r="AS18" s="80">
        <v>0</v>
      </c>
      <c r="AT18" s="80">
        <v>0</v>
      </c>
      <c r="AU18" s="80"/>
      <c r="AV18" s="80"/>
      <c r="AW18" s="80"/>
      <c r="AX18" s="80"/>
      <c r="AY18" s="80"/>
      <c r="AZ18" s="80"/>
      <c r="BA18" s="80"/>
      <c r="BB18" s="80"/>
      <c r="BC18">
        <v>1</v>
      </c>
      <c r="BD18" s="79" t="str">
        <f>REPLACE(INDEX(GroupVertices[Group],MATCH(Edges25[[#This Row],[Vertex 1]],GroupVertices[Vertex],0)),1,1,"")</f>
        <v>2</v>
      </c>
      <c r="BE18" s="79" t="str">
        <f>REPLACE(INDEX(GroupVertices[Group],MATCH(Edges25[[#This Row],[Vertex 2]],GroupVertices[Vertex],0)),1,1,"")</f>
        <v>2</v>
      </c>
      <c r="BF18" s="49">
        <v>0</v>
      </c>
      <c r="BG18" s="50">
        <v>0</v>
      </c>
      <c r="BH18" s="49">
        <v>0</v>
      </c>
      <c r="BI18" s="50">
        <v>0</v>
      </c>
      <c r="BJ18" s="49">
        <v>0</v>
      </c>
      <c r="BK18" s="50">
        <v>0</v>
      </c>
      <c r="BL18" s="49">
        <v>41</v>
      </c>
      <c r="BM18" s="50">
        <v>100</v>
      </c>
      <c r="BN18" s="49">
        <v>41</v>
      </c>
    </row>
    <row r="19" spans="1:66" ht="15">
      <c r="A19" s="65" t="s">
        <v>249</v>
      </c>
      <c r="B19" s="65" t="s">
        <v>371</v>
      </c>
      <c r="C19" s="66"/>
      <c r="D19" s="67"/>
      <c r="E19" s="66"/>
      <c r="F19" s="69"/>
      <c r="G19" s="66"/>
      <c r="H19" s="70"/>
      <c r="I19" s="71"/>
      <c r="J19" s="71"/>
      <c r="K19" s="35" t="s">
        <v>65</v>
      </c>
      <c r="L19" s="72">
        <v>21</v>
      </c>
      <c r="M19" s="72"/>
      <c r="N19" s="73"/>
      <c r="O19" s="80" t="s">
        <v>406</v>
      </c>
      <c r="P19" s="82">
        <v>44474.35481481482</v>
      </c>
      <c r="Q19" s="80" t="s">
        <v>422</v>
      </c>
      <c r="R19" s="85" t="str">
        <f>HYPERLINK("https://medium.com/futurefood/one-week-in-a-post-18-plant-based-ingredients-you-can-pronounce-celebs-craziness-on-cellular-ag-30e1b1a51a40")</f>
        <v>https://medium.com/futurefood/one-week-in-a-post-18-plant-based-ingredients-you-can-pronounce-celebs-craziness-on-cellular-ag-30e1b1a51a40</v>
      </c>
      <c r="S19" s="80" t="s">
        <v>521</v>
      </c>
      <c r="T19" s="80"/>
      <c r="U19" s="80"/>
      <c r="V19" s="85" t="str">
        <f>HYPERLINK("https://pbs.twimg.com/profile_images/1122884182840098816/svagVcmt_normal.jpg")</f>
        <v>https://pbs.twimg.com/profile_images/1122884182840098816/svagVcmt_normal.jpg</v>
      </c>
      <c r="W19" s="82">
        <v>44474.35481481482</v>
      </c>
      <c r="X19" s="87">
        <v>44474</v>
      </c>
      <c r="Y19" s="83" t="s">
        <v>583</v>
      </c>
      <c r="Z19" s="85" t="str">
        <f>HYPERLINK("https://twitter.com/ffoodinstitute/status/1445305494223138818")</f>
        <v>https://twitter.com/ffoodinstitute/status/1445305494223138818</v>
      </c>
      <c r="AA19" s="80"/>
      <c r="AB19" s="80"/>
      <c r="AC19" s="83" t="s">
        <v>766</v>
      </c>
      <c r="AD19" s="80"/>
      <c r="AE19" s="80" t="b">
        <v>0</v>
      </c>
      <c r="AF19" s="80">
        <v>2</v>
      </c>
      <c r="AG19" s="83" t="s">
        <v>952</v>
      </c>
      <c r="AH19" s="80" t="b">
        <v>0</v>
      </c>
      <c r="AI19" s="80" t="s">
        <v>967</v>
      </c>
      <c r="AJ19" s="80"/>
      <c r="AK19" s="83" t="s">
        <v>952</v>
      </c>
      <c r="AL19" s="80" t="b">
        <v>0</v>
      </c>
      <c r="AM19" s="80">
        <v>1</v>
      </c>
      <c r="AN19" s="83" t="s">
        <v>952</v>
      </c>
      <c r="AO19" s="83" t="s">
        <v>972</v>
      </c>
      <c r="AP19" s="80" t="b">
        <v>0</v>
      </c>
      <c r="AQ19" s="83" t="s">
        <v>766</v>
      </c>
      <c r="AR19" s="80" t="s">
        <v>196</v>
      </c>
      <c r="AS19" s="80">
        <v>0</v>
      </c>
      <c r="AT19" s="80">
        <v>0</v>
      </c>
      <c r="AU19" s="80"/>
      <c r="AV19" s="80"/>
      <c r="AW19" s="80"/>
      <c r="AX19" s="80"/>
      <c r="AY19" s="80"/>
      <c r="AZ19" s="80"/>
      <c r="BA19" s="80"/>
      <c r="BB19" s="80"/>
      <c r="BC19">
        <v>1</v>
      </c>
      <c r="BD19" s="79" t="str">
        <f>REPLACE(INDEX(GroupVertices[Group],MATCH(Edges25[[#This Row],[Vertex 1]],GroupVertices[Vertex],0)),1,1,"")</f>
        <v>6</v>
      </c>
      <c r="BE19" s="79" t="str">
        <f>REPLACE(INDEX(GroupVertices[Group],MATCH(Edges25[[#This Row],[Vertex 2]],GroupVertices[Vertex],0)),1,1,"")</f>
        <v>6</v>
      </c>
      <c r="BF19" s="49"/>
      <c r="BG19" s="50"/>
      <c r="BH19" s="49"/>
      <c r="BI19" s="50"/>
      <c r="BJ19" s="49"/>
      <c r="BK19" s="50"/>
      <c r="BL19" s="49"/>
      <c r="BM19" s="50"/>
      <c r="BN19" s="49"/>
    </row>
    <row r="20" spans="1:66" ht="15">
      <c r="A20" s="65" t="s">
        <v>250</v>
      </c>
      <c r="B20" s="65" t="s">
        <v>371</v>
      </c>
      <c r="C20" s="66"/>
      <c r="D20" s="67"/>
      <c r="E20" s="66"/>
      <c r="F20" s="69"/>
      <c r="G20" s="66"/>
      <c r="H20" s="70"/>
      <c r="I20" s="71"/>
      <c r="J20" s="71"/>
      <c r="K20" s="35" t="s">
        <v>65</v>
      </c>
      <c r="L20" s="72">
        <v>22</v>
      </c>
      <c r="M20" s="72"/>
      <c r="N20" s="73"/>
      <c r="O20" s="80" t="s">
        <v>407</v>
      </c>
      <c r="P20" s="82">
        <v>44475.162199074075</v>
      </c>
      <c r="Q20" s="80" t="s">
        <v>422</v>
      </c>
      <c r="R20" s="85" t="str">
        <f>HYPERLINK("https://medium.com/futurefood/one-week-in-a-post-18-plant-based-ingredients-you-can-pronounce-celebs-craziness-on-cellular-ag-30e1b1a51a40")</f>
        <v>https://medium.com/futurefood/one-week-in-a-post-18-plant-based-ingredients-you-can-pronounce-celebs-craziness-on-cellular-ag-30e1b1a51a40</v>
      </c>
      <c r="S20" s="80" t="s">
        <v>521</v>
      </c>
      <c r="T20" s="80"/>
      <c r="U20" s="80"/>
      <c r="V20" s="85" t="str">
        <f>HYPERLINK("https://pbs.twimg.com/profile_images/1430059625915854895/wltKSzhZ_normal.jpg")</f>
        <v>https://pbs.twimg.com/profile_images/1430059625915854895/wltKSzhZ_normal.jpg</v>
      </c>
      <c r="W20" s="82">
        <v>44475.162199074075</v>
      </c>
      <c r="X20" s="87">
        <v>44475</v>
      </c>
      <c r="Y20" s="83" t="s">
        <v>584</v>
      </c>
      <c r="Z20" s="85" t="str">
        <f>HYPERLINK("https://twitter.com/alephfarms/status/1445598078925295624")</f>
        <v>https://twitter.com/alephfarms/status/1445598078925295624</v>
      </c>
      <c r="AA20" s="80"/>
      <c r="AB20" s="80"/>
      <c r="AC20" s="83" t="s">
        <v>767</v>
      </c>
      <c r="AD20" s="80"/>
      <c r="AE20" s="80" t="b">
        <v>0</v>
      </c>
      <c r="AF20" s="80">
        <v>0</v>
      </c>
      <c r="AG20" s="83" t="s">
        <v>952</v>
      </c>
      <c r="AH20" s="80" t="b">
        <v>0</v>
      </c>
      <c r="AI20" s="80" t="s">
        <v>967</v>
      </c>
      <c r="AJ20" s="80"/>
      <c r="AK20" s="83" t="s">
        <v>952</v>
      </c>
      <c r="AL20" s="80" t="b">
        <v>0</v>
      </c>
      <c r="AM20" s="80">
        <v>1</v>
      </c>
      <c r="AN20" s="83" t="s">
        <v>766</v>
      </c>
      <c r="AO20" s="83" t="s">
        <v>972</v>
      </c>
      <c r="AP20" s="80" t="b">
        <v>0</v>
      </c>
      <c r="AQ20" s="83" t="s">
        <v>766</v>
      </c>
      <c r="AR20" s="80" t="s">
        <v>196</v>
      </c>
      <c r="AS20" s="80">
        <v>0</v>
      </c>
      <c r="AT20" s="80">
        <v>0</v>
      </c>
      <c r="AU20" s="80"/>
      <c r="AV20" s="80"/>
      <c r="AW20" s="80"/>
      <c r="AX20" s="80"/>
      <c r="AY20" s="80"/>
      <c r="AZ20" s="80"/>
      <c r="BA20" s="80"/>
      <c r="BB20" s="80"/>
      <c r="BC20">
        <v>1</v>
      </c>
      <c r="BD20" s="79" t="str">
        <f>REPLACE(INDEX(GroupVertices[Group],MATCH(Edges25[[#This Row],[Vertex 1]],GroupVertices[Vertex],0)),1,1,"")</f>
        <v>6</v>
      </c>
      <c r="BE20" s="79" t="str">
        <f>REPLACE(INDEX(GroupVertices[Group],MATCH(Edges25[[#This Row],[Vertex 2]],GroupVertices[Vertex],0)),1,1,"")</f>
        <v>6</v>
      </c>
      <c r="BF20" s="49"/>
      <c r="BG20" s="50"/>
      <c r="BH20" s="49"/>
      <c r="BI20" s="50"/>
      <c r="BJ20" s="49"/>
      <c r="BK20" s="50"/>
      <c r="BL20" s="49"/>
      <c r="BM20" s="50"/>
      <c r="BN20" s="49"/>
    </row>
    <row r="21" spans="1:66" ht="15">
      <c r="A21" s="65" t="s">
        <v>251</v>
      </c>
      <c r="B21" s="65" t="s">
        <v>251</v>
      </c>
      <c r="C21" s="66"/>
      <c r="D21" s="67"/>
      <c r="E21" s="66"/>
      <c r="F21" s="69"/>
      <c r="G21" s="66"/>
      <c r="H21" s="70"/>
      <c r="I21" s="71"/>
      <c r="J21" s="71"/>
      <c r="K21" s="35" t="s">
        <v>65</v>
      </c>
      <c r="L21" s="72">
        <v>29</v>
      </c>
      <c r="M21" s="72"/>
      <c r="N21" s="73"/>
      <c r="O21" s="80" t="s">
        <v>196</v>
      </c>
      <c r="P21" s="82">
        <v>44475.4253125</v>
      </c>
      <c r="Q21" s="80" t="s">
        <v>423</v>
      </c>
      <c r="R21" s="85" t="str">
        <f>HYPERLINK("https://www.linkedin.com/slink?code=da6jQa5d")</f>
        <v>https://www.linkedin.com/slink?code=da6jQa5d</v>
      </c>
      <c r="S21" s="80" t="s">
        <v>522</v>
      </c>
      <c r="T21" s="83" t="s">
        <v>551</v>
      </c>
      <c r="U21" s="80"/>
      <c r="V21" s="85" t="str">
        <f>HYPERLINK("https://pbs.twimg.com/profile_images/1325439685372600321/r46LiSsY_normal.jpg")</f>
        <v>https://pbs.twimg.com/profile_images/1325439685372600321/r46LiSsY_normal.jpg</v>
      </c>
      <c r="W21" s="82">
        <v>44475.4253125</v>
      </c>
      <c r="X21" s="87">
        <v>44475</v>
      </c>
      <c r="Y21" s="83" t="s">
        <v>585</v>
      </c>
      <c r="Z21" s="85" t="str">
        <f>HYPERLINK("https://twitter.com/drpaulbartels1/status/1445693429753671682")</f>
        <v>https://twitter.com/drpaulbartels1/status/1445693429753671682</v>
      </c>
      <c r="AA21" s="80"/>
      <c r="AB21" s="80"/>
      <c r="AC21" s="83" t="s">
        <v>768</v>
      </c>
      <c r="AD21" s="80"/>
      <c r="AE21" s="80" t="b">
        <v>0</v>
      </c>
      <c r="AF21" s="80">
        <v>0</v>
      </c>
      <c r="AG21" s="83" t="s">
        <v>952</v>
      </c>
      <c r="AH21" s="80" t="b">
        <v>0</v>
      </c>
      <c r="AI21" s="80" t="s">
        <v>969</v>
      </c>
      <c r="AJ21" s="80"/>
      <c r="AK21" s="83" t="s">
        <v>952</v>
      </c>
      <c r="AL21" s="80" t="b">
        <v>0</v>
      </c>
      <c r="AM21" s="80">
        <v>0</v>
      </c>
      <c r="AN21" s="83" t="s">
        <v>952</v>
      </c>
      <c r="AO21" s="83" t="s">
        <v>977</v>
      </c>
      <c r="AP21" s="80" t="b">
        <v>0</v>
      </c>
      <c r="AQ21" s="83" t="s">
        <v>768</v>
      </c>
      <c r="AR21" s="80" t="s">
        <v>196</v>
      </c>
      <c r="AS21" s="80">
        <v>0</v>
      </c>
      <c r="AT21" s="80">
        <v>0</v>
      </c>
      <c r="AU21" s="80"/>
      <c r="AV21" s="80"/>
      <c r="AW21" s="80"/>
      <c r="AX21" s="80"/>
      <c r="AY21" s="80"/>
      <c r="AZ21" s="80"/>
      <c r="BA21" s="80"/>
      <c r="BB21" s="80"/>
      <c r="BC21">
        <v>1</v>
      </c>
      <c r="BD21" s="79" t="str">
        <f>REPLACE(INDEX(GroupVertices[Group],MATCH(Edges25[[#This Row],[Vertex 1]],GroupVertices[Vertex],0)),1,1,"")</f>
        <v>2</v>
      </c>
      <c r="BE21" s="79" t="str">
        <f>REPLACE(INDEX(GroupVertices[Group],MATCH(Edges25[[#This Row],[Vertex 2]],GroupVertices[Vertex],0)),1,1,"")</f>
        <v>2</v>
      </c>
      <c r="BF21" s="49">
        <v>0</v>
      </c>
      <c r="BG21" s="50">
        <v>0</v>
      </c>
      <c r="BH21" s="49">
        <v>0</v>
      </c>
      <c r="BI21" s="50">
        <v>0</v>
      </c>
      <c r="BJ21" s="49">
        <v>0</v>
      </c>
      <c r="BK21" s="50">
        <v>0</v>
      </c>
      <c r="BL21" s="49">
        <v>2</v>
      </c>
      <c r="BM21" s="50">
        <v>100</v>
      </c>
      <c r="BN21" s="49">
        <v>2</v>
      </c>
    </row>
    <row r="22" spans="1:66" ht="15">
      <c r="A22" s="65" t="s">
        <v>252</v>
      </c>
      <c r="B22" s="65" t="s">
        <v>319</v>
      </c>
      <c r="C22" s="66"/>
      <c r="D22" s="67"/>
      <c r="E22" s="66"/>
      <c r="F22" s="69"/>
      <c r="G22" s="66"/>
      <c r="H22" s="70"/>
      <c r="I22" s="71"/>
      <c r="J22" s="71"/>
      <c r="K22" s="35" t="s">
        <v>65</v>
      </c>
      <c r="L22" s="72">
        <v>30</v>
      </c>
      <c r="M22" s="72"/>
      <c r="N22" s="73"/>
      <c r="O22" s="80" t="s">
        <v>408</v>
      </c>
      <c r="P22" s="82">
        <v>44475.479583333334</v>
      </c>
      <c r="Q22" s="80" t="s">
        <v>420</v>
      </c>
      <c r="R22" s="85" t="str">
        <f>HYPERLINK("https://vision4thefuture.co/lab-made-dairy-products/")</f>
        <v>https://vision4thefuture.co/lab-made-dairy-products/</v>
      </c>
      <c r="S22" s="80" t="s">
        <v>519</v>
      </c>
      <c r="T22" s="83" t="s">
        <v>549</v>
      </c>
      <c r="U22" s="80"/>
      <c r="V22" s="85" t="str">
        <f>HYPERLINK("https://pbs.twimg.com/profile_images/525654030639308801/ttl-7iNr_normal.jpeg")</f>
        <v>https://pbs.twimg.com/profile_images/525654030639308801/ttl-7iNr_normal.jpeg</v>
      </c>
      <c r="W22" s="82">
        <v>44475.479583333334</v>
      </c>
      <c r="X22" s="87">
        <v>44475</v>
      </c>
      <c r="Y22" s="83" t="s">
        <v>586</v>
      </c>
      <c r="Z22" s="85" t="str">
        <f>HYPERLINK("https://twitter.com/ironstar95/status/1445713096320765956")</f>
        <v>https://twitter.com/ironstar95/status/1445713096320765956</v>
      </c>
      <c r="AA22" s="80"/>
      <c r="AB22" s="80"/>
      <c r="AC22" s="83" t="s">
        <v>769</v>
      </c>
      <c r="AD22" s="80"/>
      <c r="AE22" s="80" t="b">
        <v>0</v>
      </c>
      <c r="AF22" s="80">
        <v>0</v>
      </c>
      <c r="AG22" s="83" t="s">
        <v>952</v>
      </c>
      <c r="AH22" s="80" t="b">
        <v>0</v>
      </c>
      <c r="AI22" s="80" t="s">
        <v>967</v>
      </c>
      <c r="AJ22" s="80"/>
      <c r="AK22" s="83" t="s">
        <v>952</v>
      </c>
      <c r="AL22" s="80" t="b">
        <v>0</v>
      </c>
      <c r="AM22" s="80">
        <v>39</v>
      </c>
      <c r="AN22" s="83" t="s">
        <v>847</v>
      </c>
      <c r="AO22" s="83" t="s">
        <v>972</v>
      </c>
      <c r="AP22" s="80" t="b">
        <v>0</v>
      </c>
      <c r="AQ22" s="83" t="s">
        <v>847</v>
      </c>
      <c r="AR22" s="80" t="s">
        <v>196</v>
      </c>
      <c r="AS22" s="80">
        <v>0</v>
      </c>
      <c r="AT22" s="80">
        <v>0</v>
      </c>
      <c r="AU22" s="80"/>
      <c r="AV22" s="80"/>
      <c r="AW22" s="80"/>
      <c r="AX22" s="80"/>
      <c r="AY22" s="80"/>
      <c r="AZ22" s="80"/>
      <c r="BA22" s="80"/>
      <c r="BB22" s="80"/>
      <c r="BC22">
        <v>1</v>
      </c>
      <c r="BD22" s="79" t="str">
        <f>REPLACE(INDEX(GroupVertices[Group],MATCH(Edges25[[#This Row],[Vertex 1]],GroupVertices[Vertex],0)),1,1,"")</f>
        <v>7</v>
      </c>
      <c r="BE22" s="79" t="str">
        <f>REPLACE(INDEX(GroupVertices[Group],MATCH(Edges25[[#This Row],[Vertex 2]],GroupVertices[Vertex],0)),1,1,"")</f>
        <v>7</v>
      </c>
      <c r="BF22" s="49">
        <v>0</v>
      </c>
      <c r="BG22" s="50">
        <v>0</v>
      </c>
      <c r="BH22" s="49">
        <v>0</v>
      </c>
      <c r="BI22" s="50">
        <v>0</v>
      </c>
      <c r="BJ22" s="49">
        <v>0</v>
      </c>
      <c r="BK22" s="50">
        <v>0</v>
      </c>
      <c r="BL22" s="49">
        <v>34</v>
      </c>
      <c r="BM22" s="50">
        <v>100</v>
      </c>
      <c r="BN22" s="49">
        <v>34</v>
      </c>
    </row>
    <row r="23" spans="1:66" ht="15">
      <c r="A23" s="65" t="s">
        <v>253</v>
      </c>
      <c r="B23" s="65" t="s">
        <v>374</v>
      </c>
      <c r="C23" s="66"/>
      <c r="D23" s="67"/>
      <c r="E23" s="66"/>
      <c r="F23" s="69"/>
      <c r="G23" s="66"/>
      <c r="H23" s="70"/>
      <c r="I23" s="71"/>
      <c r="J23" s="71"/>
      <c r="K23" s="35" t="s">
        <v>65</v>
      </c>
      <c r="L23" s="72">
        <v>31</v>
      </c>
      <c r="M23" s="72"/>
      <c r="N23" s="73"/>
      <c r="O23" s="80" t="s">
        <v>406</v>
      </c>
      <c r="P23" s="82">
        <v>44475.54513888889</v>
      </c>
      <c r="Q23" s="80" t="s">
        <v>424</v>
      </c>
      <c r="R23" s="85" t="str">
        <f>HYPERLINK("https://www.fooddive.com/news/75-of-cell-based-meat-companies-prefer-the-term-cultivated-for-their-pro/607500/?utm_content=182314502&amp;utm_medium=social&amp;utm_source=twitter&amp;hss_channel=tw-718104481951522818")</f>
        <v>https://www.fooddive.com/news/75-of-cell-based-meat-companies-prefer-the-term-cultivated-for-their-pro/607500/?utm_content=182314502&amp;utm_medium=social&amp;utm_source=twitter&amp;hss_channel=tw-718104481951522818</v>
      </c>
      <c r="S23" s="80" t="s">
        <v>514</v>
      </c>
      <c r="T23" s="80"/>
      <c r="U23" s="80"/>
      <c r="V23" s="85" t="str">
        <f>HYPERLINK("https://pbs.twimg.com/profile_images/1304159174310408199/I93Wl_PP_normal.jpg")</f>
        <v>https://pbs.twimg.com/profile_images/1304159174310408199/I93Wl_PP_normal.jpg</v>
      </c>
      <c r="W23" s="82">
        <v>44475.54513888889</v>
      </c>
      <c r="X23" s="87">
        <v>44475</v>
      </c>
      <c r="Y23" s="83" t="s">
        <v>587</v>
      </c>
      <c r="Z23" s="85" t="str">
        <f>HYPERLINK("https://twitter.com/blacksmithapps/status/1445736850136522758")</f>
        <v>https://twitter.com/blacksmithapps/status/1445736850136522758</v>
      </c>
      <c r="AA23" s="80"/>
      <c r="AB23" s="80"/>
      <c r="AC23" s="83" t="s">
        <v>770</v>
      </c>
      <c r="AD23" s="80"/>
      <c r="AE23" s="80" t="b">
        <v>0</v>
      </c>
      <c r="AF23" s="80">
        <v>0</v>
      </c>
      <c r="AG23" s="83" t="s">
        <v>952</v>
      </c>
      <c r="AH23" s="80" t="b">
        <v>0</v>
      </c>
      <c r="AI23" s="80" t="s">
        <v>967</v>
      </c>
      <c r="AJ23" s="80"/>
      <c r="AK23" s="83" t="s">
        <v>952</v>
      </c>
      <c r="AL23" s="80" t="b">
        <v>0</v>
      </c>
      <c r="AM23" s="80">
        <v>0</v>
      </c>
      <c r="AN23" s="83" t="s">
        <v>952</v>
      </c>
      <c r="AO23" s="83" t="s">
        <v>978</v>
      </c>
      <c r="AP23" s="80" t="b">
        <v>0</v>
      </c>
      <c r="AQ23" s="83" t="s">
        <v>770</v>
      </c>
      <c r="AR23" s="80" t="s">
        <v>196</v>
      </c>
      <c r="AS23" s="80">
        <v>0</v>
      </c>
      <c r="AT23" s="80">
        <v>0</v>
      </c>
      <c r="AU23" s="80"/>
      <c r="AV23" s="80"/>
      <c r="AW23" s="80"/>
      <c r="AX23" s="80"/>
      <c r="AY23" s="80"/>
      <c r="AZ23" s="80"/>
      <c r="BA23" s="80"/>
      <c r="BB23" s="80"/>
      <c r="BC23">
        <v>1</v>
      </c>
      <c r="BD23" s="79" t="str">
        <f>REPLACE(INDEX(GroupVertices[Group],MATCH(Edges25[[#This Row],[Vertex 1]],GroupVertices[Vertex],0)),1,1,"")</f>
        <v>25</v>
      </c>
      <c r="BE23" s="79" t="str">
        <f>REPLACE(INDEX(GroupVertices[Group],MATCH(Edges25[[#This Row],[Vertex 2]],GroupVertices[Vertex],0)),1,1,"")</f>
        <v>25</v>
      </c>
      <c r="BF23" s="49">
        <v>1</v>
      </c>
      <c r="BG23" s="50">
        <v>7.142857142857143</v>
      </c>
      <c r="BH23" s="49">
        <v>0</v>
      </c>
      <c r="BI23" s="50">
        <v>0</v>
      </c>
      <c r="BJ23" s="49">
        <v>0</v>
      </c>
      <c r="BK23" s="50">
        <v>0</v>
      </c>
      <c r="BL23" s="49">
        <v>13</v>
      </c>
      <c r="BM23" s="50">
        <v>92.85714285714286</v>
      </c>
      <c r="BN23" s="49">
        <v>14</v>
      </c>
    </row>
    <row r="24" spans="1:66" ht="15">
      <c r="A24" s="65" t="s">
        <v>254</v>
      </c>
      <c r="B24" s="65" t="s">
        <v>255</v>
      </c>
      <c r="C24" s="66"/>
      <c r="D24" s="67"/>
      <c r="E24" s="66"/>
      <c r="F24" s="69"/>
      <c r="G24" s="66"/>
      <c r="H24" s="70"/>
      <c r="I24" s="71"/>
      <c r="J24" s="71"/>
      <c r="K24" s="35" t="s">
        <v>65</v>
      </c>
      <c r="L24" s="72">
        <v>32</v>
      </c>
      <c r="M24" s="72"/>
      <c r="N24" s="73"/>
      <c r="O24" s="80" t="s">
        <v>408</v>
      </c>
      <c r="P24" s="82">
        <v>44475.66135416667</v>
      </c>
      <c r="Q24" s="80" t="s">
        <v>425</v>
      </c>
      <c r="R24" s="85" t="str">
        <f>HYPERLINK("https://engrxiv.org/795su")</f>
        <v>https://engrxiv.org/795su</v>
      </c>
      <c r="S24" s="80" t="s">
        <v>523</v>
      </c>
      <c r="T24" s="80"/>
      <c r="U24" s="80"/>
      <c r="V24" s="85" t="str">
        <f>HYPERLINK("https://pbs.twimg.com/profile_images/452047074813419520/xZcPzubX_normal.jpeg")</f>
        <v>https://pbs.twimg.com/profile_images/452047074813419520/xZcPzubX_normal.jpeg</v>
      </c>
      <c r="W24" s="82">
        <v>44475.66135416667</v>
      </c>
      <c r="X24" s="87">
        <v>44475</v>
      </c>
      <c r="Y24" s="83" t="s">
        <v>588</v>
      </c>
      <c r="Z24" s="85" t="str">
        <f>HYPERLINK("https://twitter.com/80000hours/status/1445778968225878028")</f>
        <v>https://twitter.com/80000hours/status/1445778968225878028</v>
      </c>
      <c r="AA24" s="80"/>
      <c r="AB24" s="80"/>
      <c r="AC24" s="83" t="s">
        <v>771</v>
      </c>
      <c r="AD24" s="80"/>
      <c r="AE24" s="80" t="b">
        <v>0</v>
      </c>
      <c r="AF24" s="80">
        <v>0</v>
      </c>
      <c r="AG24" s="83" t="s">
        <v>952</v>
      </c>
      <c r="AH24" s="80" t="b">
        <v>0</v>
      </c>
      <c r="AI24" s="80" t="s">
        <v>967</v>
      </c>
      <c r="AJ24" s="80"/>
      <c r="AK24" s="83" t="s">
        <v>952</v>
      </c>
      <c r="AL24" s="80" t="b">
        <v>0</v>
      </c>
      <c r="AM24" s="80">
        <v>2</v>
      </c>
      <c r="AN24" s="83" t="s">
        <v>772</v>
      </c>
      <c r="AO24" s="83" t="s">
        <v>972</v>
      </c>
      <c r="AP24" s="80" t="b">
        <v>0</v>
      </c>
      <c r="AQ24" s="83" t="s">
        <v>772</v>
      </c>
      <c r="AR24" s="80" t="s">
        <v>196</v>
      </c>
      <c r="AS24" s="80">
        <v>0</v>
      </c>
      <c r="AT24" s="80">
        <v>0</v>
      </c>
      <c r="AU24" s="80"/>
      <c r="AV24" s="80"/>
      <c r="AW24" s="80"/>
      <c r="AX24" s="80"/>
      <c r="AY24" s="80"/>
      <c r="AZ24" s="80"/>
      <c r="BA24" s="80"/>
      <c r="BB24" s="80"/>
      <c r="BC24">
        <v>1</v>
      </c>
      <c r="BD24" s="79" t="str">
        <f>REPLACE(INDEX(GroupVertices[Group],MATCH(Edges25[[#This Row],[Vertex 1]],GroupVertices[Vertex],0)),1,1,"")</f>
        <v>15</v>
      </c>
      <c r="BE24" s="79" t="str">
        <f>REPLACE(INDEX(GroupVertices[Group],MATCH(Edges25[[#This Row],[Vertex 2]],GroupVertices[Vertex],0)),1,1,"")</f>
        <v>15</v>
      </c>
      <c r="BF24" s="49">
        <v>1</v>
      </c>
      <c r="BG24" s="50">
        <v>3.5714285714285716</v>
      </c>
      <c r="BH24" s="49">
        <v>2</v>
      </c>
      <c r="BI24" s="50">
        <v>7.142857142857143</v>
      </c>
      <c r="BJ24" s="49">
        <v>0</v>
      </c>
      <c r="BK24" s="50">
        <v>0</v>
      </c>
      <c r="BL24" s="49">
        <v>25</v>
      </c>
      <c r="BM24" s="50">
        <v>89.28571428571429</v>
      </c>
      <c r="BN24" s="49">
        <v>28</v>
      </c>
    </row>
    <row r="25" spans="1:66" ht="15">
      <c r="A25" s="65" t="s">
        <v>255</v>
      </c>
      <c r="B25" s="65" t="s">
        <v>255</v>
      </c>
      <c r="C25" s="66"/>
      <c r="D25" s="67"/>
      <c r="E25" s="66"/>
      <c r="F25" s="69"/>
      <c r="G25" s="66"/>
      <c r="H25" s="70"/>
      <c r="I25" s="71"/>
      <c r="J25" s="71"/>
      <c r="K25" s="35" t="s">
        <v>65</v>
      </c>
      <c r="L25" s="72">
        <v>33</v>
      </c>
      <c r="M25" s="72"/>
      <c r="N25" s="73"/>
      <c r="O25" s="80" t="s">
        <v>196</v>
      </c>
      <c r="P25" s="82">
        <v>44475.66122685185</v>
      </c>
      <c r="Q25" s="80" t="s">
        <v>425</v>
      </c>
      <c r="R25" s="85" t="str">
        <f>HYPERLINK("https://engrxiv.org/795su")</f>
        <v>https://engrxiv.org/795su</v>
      </c>
      <c r="S25" s="80" t="s">
        <v>523</v>
      </c>
      <c r="T25" s="80"/>
      <c r="U25" s="80"/>
      <c r="V25" s="85" t="str">
        <f>HYPERLINK("https://pbs.twimg.com/profile_images/1325208743873667073/Zo-6k3LB_normal.jpg")</f>
        <v>https://pbs.twimg.com/profile_images/1325208743873667073/Zo-6k3LB_normal.jpg</v>
      </c>
      <c r="W25" s="82">
        <v>44475.66122685185</v>
      </c>
      <c r="X25" s="87">
        <v>44475</v>
      </c>
      <c r="Y25" s="83" t="s">
        <v>589</v>
      </c>
      <c r="Z25" s="85" t="str">
        <f>HYPERLINK("https://twitter.com/robertwiblin/status/1445778918896660481")</f>
        <v>https://twitter.com/robertwiblin/status/1445778918896660481</v>
      </c>
      <c r="AA25" s="80"/>
      <c r="AB25" s="80"/>
      <c r="AC25" s="83" t="s">
        <v>772</v>
      </c>
      <c r="AD25" s="80"/>
      <c r="AE25" s="80" t="b">
        <v>0</v>
      </c>
      <c r="AF25" s="80">
        <v>13</v>
      </c>
      <c r="AG25" s="83" t="s">
        <v>952</v>
      </c>
      <c r="AH25" s="80" t="b">
        <v>0</v>
      </c>
      <c r="AI25" s="80" t="s">
        <v>967</v>
      </c>
      <c r="AJ25" s="80"/>
      <c r="AK25" s="83" t="s">
        <v>952</v>
      </c>
      <c r="AL25" s="80" t="b">
        <v>0</v>
      </c>
      <c r="AM25" s="80">
        <v>2</v>
      </c>
      <c r="AN25" s="83" t="s">
        <v>952</v>
      </c>
      <c r="AO25" s="83" t="s">
        <v>972</v>
      </c>
      <c r="AP25" s="80" t="b">
        <v>0</v>
      </c>
      <c r="AQ25" s="83" t="s">
        <v>772</v>
      </c>
      <c r="AR25" s="80" t="s">
        <v>196</v>
      </c>
      <c r="AS25" s="80">
        <v>0</v>
      </c>
      <c r="AT25" s="80">
        <v>0</v>
      </c>
      <c r="AU25" s="80"/>
      <c r="AV25" s="80"/>
      <c r="AW25" s="80"/>
      <c r="AX25" s="80"/>
      <c r="AY25" s="80"/>
      <c r="AZ25" s="80"/>
      <c r="BA25" s="80"/>
      <c r="BB25" s="80"/>
      <c r="BC25">
        <v>1</v>
      </c>
      <c r="BD25" s="79" t="str">
        <f>REPLACE(INDEX(GroupVertices[Group],MATCH(Edges25[[#This Row],[Vertex 1]],GroupVertices[Vertex],0)),1,1,"")</f>
        <v>15</v>
      </c>
      <c r="BE25" s="79" t="str">
        <f>REPLACE(INDEX(GroupVertices[Group],MATCH(Edges25[[#This Row],[Vertex 2]],GroupVertices[Vertex],0)),1,1,"")</f>
        <v>15</v>
      </c>
      <c r="BF25" s="49">
        <v>1</v>
      </c>
      <c r="BG25" s="50">
        <v>3.5714285714285716</v>
      </c>
      <c r="BH25" s="49">
        <v>2</v>
      </c>
      <c r="BI25" s="50">
        <v>7.142857142857143</v>
      </c>
      <c r="BJ25" s="49">
        <v>0</v>
      </c>
      <c r="BK25" s="50">
        <v>0</v>
      </c>
      <c r="BL25" s="49">
        <v>25</v>
      </c>
      <c r="BM25" s="50">
        <v>89.28571428571429</v>
      </c>
      <c r="BN25" s="49">
        <v>28</v>
      </c>
    </row>
    <row r="26" spans="1:66" ht="15">
      <c r="A26" s="65" t="s">
        <v>256</v>
      </c>
      <c r="B26" s="65" t="s">
        <v>255</v>
      </c>
      <c r="C26" s="66"/>
      <c r="D26" s="67"/>
      <c r="E26" s="66"/>
      <c r="F26" s="69"/>
      <c r="G26" s="66"/>
      <c r="H26" s="70"/>
      <c r="I26" s="71"/>
      <c r="J26" s="71"/>
      <c r="K26" s="35" t="s">
        <v>65</v>
      </c>
      <c r="L26" s="72">
        <v>34</v>
      </c>
      <c r="M26" s="72"/>
      <c r="N26" s="73"/>
      <c r="O26" s="80" t="s">
        <v>408</v>
      </c>
      <c r="P26" s="82">
        <v>44475.66304398148</v>
      </c>
      <c r="Q26" s="80" t="s">
        <v>425</v>
      </c>
      <c r="R26" s="85" t="str">
        <f>HYPERLINK("https://engrxiv.org/795su")</f>
        <v>https://engrxiv.org/795su</v>
      </c>
      <c r="S26" s="80" t="s">
        <v>523</v>
      </c>
      <c r="T26" s="80"/>
      <c r="U26" s="80"/>
      <c r="V26" s="85" t="str">
        <f>HYPERLINK("https://pbs.twimg.com/profile_images/1246077080028102657/p3hnfpAg_normal.jpg")</f>
        <v>https://pbs.twimg.com/profile_images/1246077080028102657/p3hnfpAg_normal.jpg</v>
      </c>
      <c r="W26" s="82">
        <v>44475.66304398148</v>
      </c>
      <c r="X26" s="87">
        <v>44475</v>
      </c>
      <c r="Y26" s="83" t="s">
        <v>590</v>
      </c>
      <c r="Z26" s="85" t="str">
        <f>HYPERLINK("https://twitter.com/simonfriederich/status/1445779577586937865")</f>
        <v>https://twitter.com/simonfriederich/status/1445779577586937865</v>
      </c>
      <c r="AA26" s="80"/>
      <c r="AB26" s="80"/>
      <c r="AC26" s="83" t="s">
        <v>773</v>
      </c>
      <c r="AD26" s="80"/>
      <c r="AE26" s="80" t="b">
        <v>0</v>
      </c>
      <c r="AF26" s="80">
        <v>0</v>
      </c>
      <c r="AG26" s="83" t="s">
        <v>952</v>
      </c>
      <c r="AH26" s="80" t="b">
        <v>0</v>
      </c>
      <c r="AI26" s="80" t="s">
        <v>967</v>
      </c>
      <c r="AJ26" s="80"/>
      <c r="AK26" s="83" t="s">
        <v>952</v>
      </c>
      <c r="AL26" s="80" t="b">
        <v>0</v>
      </c>
      <c r="AM26" s="80">
        <v>2</v>
      </c>
      <c r="AN26" s="83" t="s">
        <v>772</v>
      </c>
      <c r="AO26" s="83" t="s">
        <v>972</v>
      </c>
      <c r="AP26" s="80" t="b">
        <v>0</v>
      </c>
      <c r="AQ26" s="83" t="s">
        <v>772</v>
      </c>
      <c r="AR26" s="80" t="s">
        <v>196</v>
      </c>
      <c r="AS26" s="80">
        <v>0</v>
      </c>
      <c r="AT26" s="80">
        <v>0</v>
      </c>
      <c r="AU26" s="80"/>
      <c r="AV26" s="80"/>
      <c r="AW26" s="80"/>
      <c r="AX26" s="80"/>
      <c r="AY26" s="80"/>
      <c r="AZ26" s="80"/>
      <c r="BA26" s="80"/>
      <c r="BB26" s="80"/>
      <c r="BC26">
        <v>1</v>
      </c>
      <c r="BD26" s="79" t="str">
        <f>REPLACE(INDEX(GroupVertices[Group],MATCH(Edges25[[#This Row],[Vertex 1]],GroupVertices[Vertex],0)),1,1,"")</f>
        <v>15</v>
      </c>
      <c r="BE26" s="79" t="str">
        <f>REPLACE(INDEX(GroupVertices[Group],MATCH(Edges25[[#This Row],[Vertex 2]],GroupVertices[Vertex],0)),1,1,"")</f>
        <v>15</v>
      </c>
      <c r="BF26" s="49">
        <v>1</v>
      </c>
      <c r="BG26" s="50">
        <v>3.5714285714285716</v>
      </c>
      <c r="BH26" s="49">
        <v>2</v>
      </c>
      <c r="BI26" s="50">
        <v>7.142857142857143</v>
      </c>
      <c r="BJ26" s="49">
        <v>0</v>
      </c>
      <c r="BK26" s="50">
        <v>0</v>
      </c>
      <c r="BL26" s="49">
        <v>25</v>
      </c>
      <c r="BM26" s="50">
        <v>89.28571428571429</v>
      </c>
      <c r="BN26" s="49">
        <v>28</v>
      </c>
    </row>
    <row r="27" spans="1:66" ht="15">
      <c r="A27" s="65" t="s">
        <v>257</v>
      </c>
      <c r="B27" s="65" t="s">
        <v>375</v>
      </c>
      <c r="C27" s="66"/>
      <c r="D27" s="67"/>
      <c r="E27" s="66"/>
      <c r="F27" s="69"/>
      <c r="G27" s="66"/>
      <c r="H27" s="70"/>
      <c r="I27" s="71"/>
      <c r="J27" s="71"/>
      <c r="K27" s="35" t="s">
        <v>65</v>
      </c>
      <c r="L27" s="72">
        <v>35</v>
      </c>
      <c r="M27" s="72"/>
      <c r="N27" s="73"/>
      <c r="O27" s="80" t="s">
        <v>406</v>
      </c>
      <c r="P27" s="82">
        <v>44475.795219907406</v>
      </c>
      <c r="Q27" s="80" t="s">
        <v>426</v>
      </c>
      <c r="R27" s="85" t="str">
        <f>HYPERLINK("https://vegconomist.com/cultivated/herotein-partners-with-mission-barns-to-bring-first-hybrid-cultivated-plant-based-meat-products-to-china/")</f>
        <v>https://vegconomist.com/cultivated/herotein-partners-with-mission-barns-to-bring-first-hybrid-cultivated-plant-based-meat-products-to-china/</v>
      </c>
      <c r="S27" s="80" t="s">
        <v>524</v>
      </c>
      <c r="T27" s="80"/>
      <c r="U27" s="80"/>
      <c r="V27" s="85" t="str">
        <f>HYPERLINK("https://pbs.twimg.com/profile_images/930182223554154496/VFXs_YZI_normal.jpg")</f>
        <v>https://pbs.twimg.com/profile_images/930182223554154496/VFXs_YZI_normal.jpg</v>
      </c>
      <c r="W27" s="82">
        <v>44475.795219907406</v>
      </c>
      <c r="X27" s="87">
        <v>44475</v>
      </c>
      <c r="Y27" s="83" t="s">
        <v>591</v>
      </c>
      <c r="Z27" s="85" t="str">
        <f>HYPERLINK("https://twitter.com/joyancepartners/status/1445827476492591106")</f>
        <v>https://twitter.com/joyancepartners/status/1445827476492591106</v>
      </c>
      <c r="AA27" s="80"/>
      <c r="AB27" s="80"/>
      <c r="AC27" s="83" t="s">
        <v>774</v>
      </c>
      <c r="AD27" s="80"/>
      <c r="AE27" s="80" t="b">
        <v>0</v>
      </c>
      <c r="AF27" s="80">
        <v>0</v>
      </c>
      <c r="AG27" s="83" t="s">
        <v>952</v>
      </c>
      <c r="AH27" s="80" t="b">
        <v>0</v>
      </c>
      <c r="AI27" s="80" t="s">
        <v>967</v>
      </c>
      <c r="AJ27" s="80"/>
      <c r="AK27" s="83" t="s">
        <v>952</v>
      </c>
      <c r="AL27" s="80" t="b">
        <v>0</v>
      </c>
      <c r="AM27" s="80">
        <v>0</v>
      </c>
      <c r="AN27" s="83" t="s">
        <v>952</v>
      </c>
      <c r="AO27" s="83" t="s">
        <v>974</v>
      </c>
      <c r="AP27" s="80" t="b">
        <v>0</v>
      </c>
      <c r="AQ27" s="83" t="s">
        <v>774</v>
      </c>
      <c r="AR27" s="80" t="s">
        <v>196</v>
      </c>
      <c r="AS27" s="80">
        <v>0</v>
      </c>
      <c r="AT27" s="80">
        <v>0</v>
      </c>
      <c r="AU27" s="80"/>
      <c r="AV27" s="80"/>
      <c r="AW27" s="80"/>
      <c r="AX27" s="80"/>
      <c r="AY27" s="80"/>
      <c r="AZ27" s="80"/>
      <c r="BA27" s="80"/>
      <c r="BB27" s="80"/>
      <c r="BC27">
        <v>1</v>
      </c>
      <c r="BD27" s="79" t="str">
        <f>REPLACE(INDEX(GroupVertices[Group],MATCH(Edges25[[#This Row],[Vertex 1]],GroupVertices[Vertex],0)),1,1,"")</f>
        <v>5</v>
      </c>
      <c r="BE27" s="79" t="str">
        <f>REPLACE(INDEX(GroupVertices[Group],MATCH(Edges25[[#This Row],[Vertex 2]],GroupVertices[Vertex],0)),1,1,"")</f>
        <v>5</v>
      </c>
      <c r="BF27" s="49"/>
      <c r="BG27" s="50"/>
      <c r="BH27" s="49"/>
      <c r="BI27" s="50"/>
      <c r="BJ27" s="49"/>
      <c r="BK27" s="50"/>
      <c r="BL27" s="49"/>
      <c r="BM27" s="50"/>
      <c r="BN27" s="49"/>
    </row>
    <row r="28" spans="1:66" ht="15">
      <c r="A28" s="65" t="s">
        <v>258</v>
      </c>
      <c r="B28" s="65" t="s">
        <v>376</v>
      </c>
      <c r="C28" s="66"/>
      <c r="D28" s="67"/>
      <c r="E28" s="66"/>
      <c r="F28" s="69"/>
      <c r="G28" s="66"/>
      <c r="H28" s="70"/>
      <c r="I28" s="71"/>
      <c r="J28" s="71"/>
      <c r="K28" s="35" t="s">
        <v>65</v>
      </c>
      <c r="L28" s="72">
        <v>36</v>
      </c>
      <c r="M28" s="72"/>
      <c r="N28" s="73"/>
      <c r="O28" s="80" t="s">
        <v>406</v>
      </c>
      <c r="P28" s="82">
        <v>44470.63309027778</v>
      </c>
      <c r="Q28" s="80" t="s">
        <v>427</v>
      </c>
      <c r="R28" s="85" t="str">
        <f>HYPERLINK("https://vegconomist.com/cultivated/herotein-partners-with-mission-barns-to-bring-first-hybrid-cultivated-plant-based-meat-products-to-china/")</f>
        <v>https://vegconomist.com/cultivated/herotein-partners-with-mission-barns-to-bring-first-hybrid-cultivated-plant-based-meat-products-to-china/</v>
      </c>
      <c r="S28" s="80" t="s">
        <v>524</v>
      </c>
      <c r="T28" s="80"/>
      <c r="U28" s="85" t="str">
        <f>HYPERLINK("https://pbs.twimg.com/media/FAn0mgSWQCc1zjB.jpg")</f>
        <v>https://pbs.twimg.com/media/FAn0mgSWQCc1zjB.jpg</v>
      </c>
      <c r="V28" s="85" t="str">
        <f>HYPERLINK("https://pbs.twimg.com/media/FAn0mgSWQCc1zjB.jpg")</f>
        <v>https://pbs.twimg.com/media/FAn0mgSWQCc1zjB.jpg</v>
      </c>
      <c r="W28" s="82">
        <v>44470.63309027778</v>
      </c>
      <c r="X28" s="87">
        <v>44470</v>
      </c>
      <c r="Y28" s="83" t="s">
        <v>592</v>
      </c>
      <c r="Z28" s="85" t="str">
        <f>HYPERLINK("https://twitter.com/goodfoodinst/status/1443956785384202241")</f>
        <v>https://twitter.com/goodfoodinst/status/1443956785384202241</v>
      </c>
      <c r="AA28" s="80"/>
      <c r="AB28" s="80"/>
      <c r="AC28" s="83" t="s">
        <v>775</v>
      </c>
      <c r="AD28" s="80"/>
      <c r="AE28" s="80" t="b">
        <v>0</v>
      </c>
      <c r="AF28" s="80">
        <v>15</v>
      </c>
      <c r="AG28" s="83" t="s">
        <v>952</v>
      </c>
      <c r="AH28" s="80" t="b">
        <v>0</v>
      </c>
      <c r="AI28" s="80" t="s">
        <v>967</v>
      </c>
      <c r="AJ28" s="80"/>
      <c r="AK28" s="83" t="s">
        <v>952</v>
      </c>
      <c r="AL28" s="80" t="b">
        <v>0</v>
      </c>
      <c r="AM28" s="80">
        <v>2</v>
      </c>
      <c r="AN28" s="83" t="s">
        <v>952</v>
      </c>
      <c r="AO28" s="83" t="s">
        <v>972</v>
      </c>
      <c r="AP28" s="80" t="b">
        <v>0</v>
      </c>
      <c r="AQ28" s="83" t="s">
        <v>775</v>
      </c>
      <c r="AR28" s="80" t="s">
        <v>408</v>
      </c>
      <c r="AS28" s="80">
        <v>0</v>
      </c>
      <c r="AT28" s="80">
        <v>0</v>
      </c>
      <c r="AU28" s="80"/>
      <c r="AV28" s="80"/>
      <c r="AW28" s="80"/>
      <c r="AX28" s="80"/>
      <c r="AY28" s="80"/>
      <c r="AZ28" s="80"/>
      <c r="BA28" s="80"/>
      <c r="BB28" s="80"/>
      <c r="BC28">
        <v>1</v>
      </c>
      <c r="BD28" s="79" t="str">
        <f>REPLACE(INDEX(GroupVertices[Group],MATCH(Edges25[[#This Row],[Vertex 1]],GroupVertices[Vertex],0)),1,1,"")</f>
        <v>5</v>
      </c>
      <c r="BE28" s="79" t="str">
        <f>REPLACE(INDEX(GroupVertices[Group],MATCH(Edges25[[#This Row],[Vertex 2]],GroupVertices[Vertex],0)),1,1,"")</f>
        <v>5</v>
      </c>
      <c r="BF28" s="49">
        <v>1</v>
      </c>
      <c r="BG28" s="50">
        <v>2.5</v>
      </c>
      <c r="BH28" s="49">
        <v>2</v>
      </c>
      <c r="BI28" s="50">
        <v>5</v>
      </c>
      <c r="BJ28" s="49">
        <v>0</v>
      </c>
      <c r="BK28" s="50">
        <v>0</v>
      </c>
      <c r="BL28" s="49">
        <v>37</v>
      </c>
      <c r="BM28" s="50">
        <v>92.5</v>
      </c>
      <c r="BN28" s="49">
        <v>40</v>
      </c>
    </row>
    <row r="29" spans="1:66" ht="15">
      <c r="A29" s="65" t="s">
        <v>257</v>
      </c>
      <c r="B29" s="65" t="s">
        <v>376</v>
      </c>
      <c r="C29" s="66"/>
      <c r="D29" s="67"/>
      <c r="E29" s="66"/>
      <c r="F29" s="69"/>
      <c r="G29" s="66"/>
      <c r="H29" s="70"/>
      <c r="I29" s="71"/>
      <c r="J29" s="71"/>
      <c r="K29" s="35" t="s">
        <v>65</v>
      </c>
      <c r="L29" s="72">
        <v>37</v>
      </c>
      <c r="M29" s="72"/>
      <c r="N29" s="73"/>
      <c r="O29" s="80" t="s">
        <v>407</v>
      </c>
      <c r="P29" s="82">
        <v>44474.73490740741</v>
      </c>
      <c r="Q29" s="80" t="s">
        <v>427</v>
      </c>
      <c r="R29" s="85" t="str">
        <f>HYPERLINK("https://vegconomist.com/cultivated/herotein-partners-with-mission-barns-to-bring-first-hybrid-cultivated-plant-based-meat-products-to-china/")</f>
        <v>https://vegconomist.com/cultivated/herotein-partners-with-mission-barns-to-bring-first-hybrid-cultivated-plant-based-meat-products-to-china/</v>
      </c>
      <c r="S29" s="80" t="s">
        <v>524</v>
      </c>
      <c r="T29" s="80"/>
      <c r="U29" s="85" t="str">
        <f>HYPERLINK("https://pbs.twimg.com/media/FAn0mgSWQCc1zjB.jpg")</f>
        <v>https://pbs.twimg.com/media/FAn0mgSWQCc1zjB.jpg</v>
      </c>
      <c r="V29" s="85" t="str">
        <f>HYPERLINK("https://pbs.twimg.com/media/FAn0mgSWQCc1zjB.jpg")</f>
        <v>https://pbs.twimg.com/media/FAn0mgSWQCc1zjB.jpg</v>
      </c>
      <c r="W29" s="82">
        <v>44474.73490740741</v>
      </c>
      <c r="X29" s="87">
        <v>44474</v>
      </c>
      <c r="Y29" s="83" t="s">
        <v>593</v>
      </c>
      <c r="Z29" s="85" t="str">
        <f>HYPERLINK("https://twitter.com/joyancepartners/status/1445443233916416003")</f>
        <v>https://twitter.com/joyancepartners/status/1445443233916416003</v>
      </c>
      <c r="AA29" s="80"/>
      <c r="AB29" s="80"/>
      <c r="AC29" s="83" t="s">
        <v>776</v>
      </c>
      <c r="AD29" s="80"/>
      <c r="AE29" s="80" t="b">
        <v>0</v>
      </c>
      <c r="AF29" s="80">
        <v>0</v>
      </c>
      <c r="AG29" s="83" t="s">
        <v>952</v>
      </c>
      <c r="AH29" s="80" t="b">
        <v>0</v>
      </c>
      <c r="AI29" s="80" t="s">
        <v>967</v>
      </c>
      <c r="AJ29" s="80"/>
      <c r="AK29" s="83" t="s">
        <v>952</v>
      </c>
      <c r="AL29" s="80" t="b">
        <v>0</v>
      </c>
      <c r="AM29" s="80">
        <v>2</v>
      </c>
      <c r="AN29" s="83" t="s">
        <v>775</v>
      </c>
      <c r="AO29" s="83" t="s">
        <v>972</v>
      </c>
      <c r="AP29" s="80" t="b">
        <v>0</v>
      </c>
      <c r="AQ29" s="83" t="s">
        <v>775</v>
      </c>
      <c r="AR29" s="80" t="s">
        <v>196</v>
      </c>
      <c r="AS29" s="80">
        <v>0</v>
      </c>
      <c r="AT29" s="80">
        <v>0</v>
      </c>
      <c r="AU29" s="80"/>
      <c r="AV29" s="80"/>
      <c r="AW29" s="80"/>
      <c r="AX29" s="80"/>
      <c r="AY29" s="80"/>
      <c r="AZ29" s="80"/>
      <c r="BA29" s="80"/>
      <c r="BB29" s="80"/>
      <c r="BC29">
        <v>1</v>
      </c>
      <c r="BD29" s="79" t="str">
        <f>REPLACE(INDEX(GroupVertices[Group],MATCH(Edges25[[#This Row],[Vertex 1]],GroupVertices[Vertex],0)),1,1,"")</f>
        <v>5</v>
      </c>
      <c r="BE29" s="79" t="str">
        <f>REPLACE(INDEX(GroupVertices[Group],MATCH(Edges25[[#This Row],[Vertex 2]],GroupVertices[Vertex],0)),1,1,"")</f>
        <v>5</v>
      </c>
      <c r="BF29" s="49">
        <v>1</v>
      </c>
      <c r="BG29" s="50">
        <v>2.5</v>
      </c>
      <c r="BH29" s="49">
        <v>2</v>
      </c>
      <c r="BI29" s="50">
        <v>5</v>
      </c>
      <c r="BJ29" s="49">
        <v>0</v>
      </c>
      <c r="BK29" s="50">
        <v>0</v>
      </c>
      <c r="BL29" s="49">
        <v>37</v>
      </c>
      <c r="BM29" s="50">
        <v>92.5</v>
      </c>
      <c r="BN29" s="49">
        <v>40</v>
      </c>
    </row>
    <row r="30" spans="1:66" ht="15">
      <c r="A30" s="65" t="s">
        <v>259</v>
      </c>
      <c r="B30" s="65" t="s">
        <v>346</v>
      </c>
      <c r="C30" s="66"/>
      <c r="D30" s="67"/>
      <c r="E30" s="66"/>
      <c r="F30" s="69"/>
      <c r="G30" s="66"/>
      <c r="H30" s="70"/>
      <c r="I30" s="71"/>
      <c r="J30" s="71"/>
      <c r="K30" s="35" t="s">
        <v>65</v>
      </c>
      <c r="L30" s="72">
        <v>40</v>
      </c>
      <c r="M30" s="72"/>
      <c r="N30" s="73"/>
      <c r="O30" s="80" t="s">
        <v>408</v>
      </c>
      <c r="P30" s="82">
        <v>44475.816342592596</v>
      </c>
      <c r="Q30" s="83" t="s">
        <v>428</v>
      </c>
      <c r="R30" s="85" t="str">
        <f>HYPERLINK("https://www.greenqueen.com.hk/amp/cell-based-meat-economy-boost/")</f>
        <v>https://www.greenqueen.com.hk/amp/cell-based-meat-economy-boost/</v>
      </c>
      <c r="S30" s="80" t="s">
        <v>525</v>
      </c>
      <c r="T30" s="83" t="s">
        <v>552</v>
      </c>
      <c r="U30" s="80"/>
      <c r="V30" s="85" t="str">
        <f>HYPERLINK("https://pbs.twimg.com/profile_images/1442094860719165442/z9LBrjyn_normal.jpg")</f>
        <v>https://pbs.twimg.com/profile_images/1442094860719165442/z9LBrjyn_normal.jpg</v>
      </c>
      <c r="W30" s="82">
        <v>44475.816342592596</v>
      </c>
      <c r="X30" s="87">
        <v>44475</v>
      </c>
      <c r="Y30" s="83" t="s">
        <v>594</v>
      </c>
      <c r="Z30" s="85" t="str">
        <f>HYPERLINK("https://twitter.com/profjbmatthews/status/1445835133018247176")</f>
        <v>https://twitter.com/profjbmatthews/status/1445835133018247176</v>
      </c>
      <c r="AA30" s="80"/>
      <c r="AB30" s="80"/>
      <c r="AC30" s="83" t="s">
        <v>777</v>
      </c>
      <c r="AD30" s="80"/>
      <c r="AE30" s="80" t="b">
        <v>0</v>
      </c>
      <c r="AF30" s="80">
        <v>0</v>
      </c>
      <c r="AG30" s="83" t="s">
        <v>952</v>
      </c>
      <c r="AH30" s="80" t="b">
        <v>0</v>
      </c>
      <c r="AI30" s="80" t="s">
        <v>967</v>
      </c>
      <c r="AJ30" s="80"/>
      <c r="AK30" s="83" t="s">
        <v>952</v>
      </c>
      <c r="AL30" s="80" t="b">
        <v>0</v>
      </c>
      <c r="AM30" s="80">
        <v>2</v>
      </c>
      <c r="AN30" s="83" t="s">
        <v>906</v>
      </c>
      <c r="AO30" s="83" t="s">
        <v>976</v>
      </c>
      <c r="AP30" s="80" t="b">
        <v>0</v>
      </c>
      <c r="AQ30" s="83" t="s">
        <v>906</v>
      </c>
      <c r="AR30" s="80" t="s">
        <v>196</v>
      </c>
      <c r="AS30" s="80">
        <v>0</v>
      </c>
      <c r="AT30" s="80">
        <v>0</v>
      </c>
      <c r="AU30" s="80"/>
      <c r="AV30" s="80"/>
      <c r="AW30" s="80"/>
      <c r="AX30" s="80"/>
      <c r="AY30" s="80"/>
      <c r="AZ30" s="80"/>
      <c r="BA30" s="80"/>
      <c r="BB30" s="80"/>
      <c r="BC30">
        <v>1</v>
      </c>
      <c r="BD30" s="79" t="str">
        <f>REPLACE(INDEX(GroupVertices[Group],MATCH(Edges25[[#This Row],[Vertex 1]],GroupVertices[Vertex],0)),1,1,"")</f>
        <v>3</v>
      </c>
      <c r="BE30" s="79" t="str">
        <f>REPLACE(INDEX(GroupVertices[Group],MATCH(Edges25[[#This Row],[Vertex 2]],GroupVertices[Vertex],0)),1,1,"")</f>
        <v>3</v>
      </c>
      <c r="BF30" s="49">
        <v>0</v>
      </c>
      <c r="BG30" s="50">
        <v>0</v>
      </c>
      <c r="BH30" s="49">
        <v>0</v>
      </c>
      <c r="BI30" s="50">
        <v>0</v>
      </c>
      <c r="BJ30" s="49">
        <v>0</v>
      </c>
      <c r="BK30" s="50">
        <v>0</v>
      </c>
      <c r="BL30" s="49">
        <v>38</v>
      </c>
      <c r="BM30" s="50">
        <v>100</v>
      </c>
      <c r="BN30" s="49">
        <v>38</v>
      </c>
    </row>
    <row r="31" spans="1:66" ht="15">
      <c r="A31" s="65" t="s">
        <v>260</v>
      </c>
      <c r="B31" s="65" t="s">
        <v>260</v>
      </c>
      <c r="C31" s="66"/>
      <c r="D31" s="67"/>
      <c r="E31" s="66"/>
      <c r="F31" s="69"/>
      <c r="G31" s="66"/>
      <c r="H31" s="70"/>
      <c r="I31" s="71"/>
      <c r="J31" s="71"/>
      <c r="K31" s="35" t="s">
        <v>65</v>
      </c>
      <c r="L31" s="72">
        <v>41</v>
      </c>
      <c r="M31" s="72"/>
      <c r="N31" s="73"/>
      <c r="O31" s="80" t="s">
        <v>196</v>
      </c>
      <c r="P31" s="82">
        <v>44474.82894675926</v>
      </c>
      <c r="Q31" s="80" t="s">
        <v>429</v>
      </c>
      <c r="R31" s="85" t="str">
        <f>HYPERLINK("https://www.studyfinds.org/people-experience-pain-eating/")</f>
        <v>https://www.studyfinds.org/people-experience-pain-eating/</v>
      </c>
      <c r="S31" s="80" t="s">
        <v>526</v>
      </c>
      <c r="T31" s="80"/>
      <c r="U31" s="80"/>
      <c r="V31" s="85" t="str">
        <f>HYPERLINK("https://pbs.twimg.com/profile_images/453890066717220864/jE_H-2Pu_normal.jpeg")</f>
        <v>https://pbs.twimg.com/profile_images/453890066717220864/jE_H-2Pu_normal.jpeg</v>
      </c>
      <c r="W31" s="82">
        <v>44474.82894675926</v>
      </c>
      <c r="X31" s="87">
        <v>44474</v>
      </c>
      <c r="Y31" s="83" t="s">
        <v>595</v>
      </c>
      <c r="Z31" s="85" t="str">
        <f>HYPERLINK("https://twitter.com/positiveradio/status/1445477313211031565")</f>
        <v>https://twitter.com/positiveradio/status/1445477313211031565</v>
      </c>
      <c r="AA31" s="80"/>
      <c r="AB31" s="80"/>
      <c r="AC31" s="83" t="s">
        <v>778</v>
      </c>
      <c r="AD31" s="80"/>
      <c r="AE31" s="80" t="b">
        <v>0</v>
      </c>
      <c r="AF31" s="80">
        <v>0</v>
      </c>
      <c r="AG31" s="83" t="s">
        <v>952</v>
      </c>
      <c r="AH31" s="80" t="b">
        <v>0</v>
      </c>
      <c r="AI31" s="80" t="s">
        <v>967</v>
      </c>
      <c r="AJ31" s="80"/>
      <c r="AK31" s="83" t="s">
        <v>952</v>
      </c>
      <c r="AL31" s="80" t="b">
        <v>0</v>
      </c>
      <c r="AM31" s="80">
        <v>0</v>
      </c>
      <c r="AN31" s="83" t="s">
        <v>952</v>
      </c>
      <c r="AO31" s="83" t="s">
        <v>972</v>
      </c>
      <c r="AP31" s="80" t="b">
        <v>0</v>
      </c>
      <c r="AQ31" s="83" t="s">
        <v>778</v>
      </c>
      <c r="AR31" s="80" t="s">
        <v>196</v>
      </c>
      <c r="AS31" s="80">
        <v>0</v>
      </c>
      <c r="AT31" s="80">
        <v>0</v>
      </c>
      <c r="AU31" s="80"/>
      <c r="AV31" s="80"/>
      <c r="AW31" s="80"/>
      <c r="AX31" s="80"/>
      <c r="AY31" s="80"/>
      <c r="AZ31" s="80"/>
      <c r="BA31" s="80"/>
      <c r="BB31" s="80"/>
      <c r="BC31">
        <v>2</v>
      </c>
      <c r="BD31" s="79" t="str">
        <f>REPLACE(INDEX(GroupVertices[Group],MATCH(Edges25[[#This Row],[Vertex 1]],GroupVertices[Vertex],0)),1,1,"")</f>
        <v>2</v>
      </c>
      <c r="BE31" s="79" t="str">
        <f>REPLACE(INDEX(GroupVertices[Group],MATCH(Edges25[[#This Row],[Vertex 2]],GroupVertices[Vertex],0)),1,1,"")</f>
        <v>2</v>
      </c>
      <c r="BF31" s="49">
        <v>0</v>
      </c>
      <c r="BG31" s="50">
        <v>0</v>
      </c>
      <c r="BH31" s="49">
        <v>3</v>
      </c>
      <c r="BI31" s="50">
        <v>8.823529411764707</v>
      </c>
      <c r="BJ31" s="49">
        <v>0</v>
      </c>
      <c r="BK31" s="50">
        <v>0</v>
      </c>
      <c r="BL31" s="49">
        <v>31</v>
      </c>
      <c r="BM31" s="50">
        <v>91.17647058823529</v>
      </c>
      <c r="BN31" s="49">
        <v>34</v>
      </c>
    </row>
    <row r="32" spans="1:66" ht="15">
      <c r="A32" s="65" t="s">
        <v>260</v>
      </c>
      <c r="B32" s="65" t="s">
        <v>260</v>
      </c>
      <c r="C32" s="66"/>
      <c r="D32" s="67"/>
      <c r="E32" s="66"/>
      <c r="F32" s="69"/>
      <c r="G32" s="66"/>
      <c r="H32" s="70"/>
      <c r="I32" s="71"/>
      <c r="J32" s="71"/>
      <c r="K32" s="35" t="s">
        <v>65</v>
      </c>
      <c r="L32" s="72">
        <v>42</v>
      </c>
      <c r="M32" s="72"/>
      <c r="N32" s="73"/>
      <c r="O32" s="80" t="s">
        <v>196</v>
      </c>
      <c r="P32" s="82">
        <v>44476.04560185185</v>
      </c>
      <c r="Q32" s="80" t="s">
        <v>430</v>
      </c>
      <c r="R32" s="85" t="str">
        <f>HYPERLINK("https://newrepublic.com/article/163857/lab-meat-marketing-gmo-foods")</f>
        <v>https://newrepublic.com/article/163857/lab-meat-marketing-gmo-foods</v>
      </c>
      <c r="S32" s="80" t="s">
        <v>527</v>
      </c>
      <c r="T32" s="80"/>
      <c r="U32" s="80"/>
      <c r="V32" s="85" t="str">
        <f>HYPERLINK("https://pbs.twimg.com/profile_images/453890066717220864/jE_H-2Pu_normal.jpeg")</f>
        <v>https://pbs.twimg.com/profile_images/453890066717220864/jE_H-2Pu_normal.jpeg</v>
      </c>
      <c r="W32" s="82">
        <v>44476.04560185185</v>
      </c>
      <c r="X32" s="87">
        <v>44476</v>
      </c>
      <c r="Y32" s="83" t="s">
        <v>596</v>
      </c>
      <c r="Z32" s="85" t="str">
        <f>HYPERLINK("https://twitter.com/positiveradio/status/1445918212407787526")</f>
        <v>https://twitter.com/positiveradio/status/1445918212407787526</v>
      </c>
      <c r="AA32" s="80"/>
      <c r="AB32" s="80"/>
      <c r="AC32" s="83" t="s">
        <v>779</v>
      </c>
      <c r="AD32" s="80"/>
      <c r="AE32" s="80" t="b">
        <v>0</v>
      </c>
      <c r="AF32" s="80">
        <v>0</v>
      </c>
      <c r="AG32" s="83" t="s">
        <v>952</v>
      </c>
      <c r="AH32" s="80" t="b">
        <v>0</v>
      </c>
      <c r="AI32" s="80" t="s">
        <v>967</v>
      </c>
      <c r="AJ32" s="80"/>
      <c r="AK32" s="83" t="s">
        <v>952</v>
      </c>
      <c r="AL32" s="80" t="b">
        <v>0</v>
      </c>
      <c r="AM32" s="80">
        <v>0</v>
      </c>
      <c r="AN32" s="83" t="s">
        <v>952</v>
      </c>
      <c r="AO32" s="83" t="s">
        <v>972</v>
      </c>
      <c r="AP32" s="80" t="b">
        <v>0</v>
      </c>
      <c r="AQ32" s="83" t="s">
        <v>779</v>
      </c>
      <c r="AR32" s="80" t="s">
        <v>196</v>
      </c>
      <c r="AS32" s="80">
        <v>0</v>
      </c>
      <c r="AT32" s="80">
        <v>0</v>
      </c>
      <c r="AU32" s="80"/>
      <c r="AV32" s="80"/>
      <c r="AW32" s="80"/>
      <c r="AX32" s="80"/>
      <c r="AY32" s="80"/>
      <c r="AZ32" s="80"/>
      <c r="BA32" s="80"/>
      <c r="BB32" s="80"/>
      <c r="BC32">
        <v>2</v>
      </c>
      <c r="BD32" s="79" t="str">
        <f>REPLACE(INDEX(GroupVertices[Group],MATCH(Edges25[[#This Row],[Vertex 1]],GroupVertices[Vertex],0)),1,1,"")</f>
        <v>2</v>
      </c>
      <c r="BE32" s="79" t="str">
        <f>REPLACE(INDEX(GroupVertices[Group],MATCH(Edges25[[#This Row],[Vertex 2]],GroupVertices[Vertex],0)),1,1,"")</f>
        <v>2</v>
      </c>
      <c r="BF32" s="49">
        <v>0</v>
      </c>
      <c r="BG32" s="50">
        <v>0</v>
      </c>
      <c r="BH32" s="49">
        <v>1</v>
      </c>
      <c r="BI32" s="50">
        <v>3.5714285714285716</v>
      </c>
      <c r="BJ32" s="49">
        <v>0</v>
      </c>
      <c r="BK32" s="50">
        <v>0</v>
      </c>
      <c r="BL32" s="49">
        <v>27</v>
      </c>
      <c r="BM32" s="50">
        <v>96.42857142857143</v>
      </c>
      <c r="BN32" s="49">
        <v>28</v>
      </c>
    </row>
    <row r="33" spans="1:66" ht="15">
      <c r="A33" s="65" t="s">
        <v>261</v>
      </c>
      <c r="B33" s="65" t="s">
        <v>377</v>
      </c>
      <c r="C33" s="66"/>
      <c r="D33" s="67"/>
      <c r="E33" s="66"/>
      <c r="F33" s="69"/>
      <c r="G33" s="66"/>
      <c r="H33" s="70"/>
      <c r="I33" s="71"/>
      <c r="J33" s="71"/>
      <c r="K33" s="35" t="s">
        <v>65</v>
      </c>
      <c r="L33" s="72">
        <v>43</v>
      </c>
      <c r="M33" s="72"/>
      <c r="N33" s="73"/>
      <c r="O33" s="80" t="s">
        <v>407</v>
      </c>
      <c r="P33" s="82">
        <v>44476.340891203705</v>
      </c>
      <c r="Q33" s="80" t="s">
        <v>431</v>
      </c>
      <c r="R33" s="85" t="str">
        <f>HYPERLINK("https://econ.trib.al/NL8KzOD")</f>
        <v>https://econ.trib.al/NL8KzOD</v>
      </c>
      <c r="S33" s="80" t="s">
        <v>528</v>
      </c>
      <c r="T33" s="80"/>
      <c r="U33" s="80"/>
      <c r="V33" s="85" t="str">
        <f>HYPERLINK("https://pbs.twimg.com/profile_images/1066626629995282432/pazh5L7A_normal.jpg")</f>
        <v>https://pbs.twimg.com/profile_images/1066626629995282432/pazh5L7A_normal.jpg</v>
      </c>
      <c r="W33" s="82">
        <v>44476.340891203705</v>
      </c>
      <c r="X33" s="87">
        <v>44476</v>
      </c>
      <c r="Y33" s="83" t="s">
        <v>597</v>
      </c>
      <c r="Z33" s="85" t="str">
        <f>HYPERLINK("https://twitter.com/hakangunery_/status/1446025220809269248")</f>
        <v>https://twitter.com/hakangunery_/status/1446025220809269248</v>
      </c>
      <c r="AA33" s="80"/>
      <c r="AB33" s="80"/>
      <c r="AC33" s="83" t="s">
        <v>780</v>
      </c>
      <c r="AD33" s="80"/>
      <c r="AE33" s="80" t="b">
        <v>0</v>
      </c>
      <c r="AF33" s="80">
        <v>0</v>
      </c>
      <c r="AG33" s="83" t="s">
        <v>952</v>
      </c>
      <c r="AH33" s="80" t="b">
        <v>0</v>
      </c>
      <c r="AI33" s="80" t="s">
        <v>967</v>
      </c>
      <c r="AJ33" s="80"/>
      <c r="AK33" s="83" t="s">
        <v>952</v>
      </c>
      <c r="AL33" s="80" t="b">
        <v>0</v>
      </c>
      <c r="AM33" s="80">
        <v>2</v>
      </c>
      <c r="AN33" s="83" t="s">
        <v>867</v>
      </c>
      <c r="AO33" s="83" t="s">
        <v>979</v>
      </c>
      <c r="AP33" s="80" t="b">
        <v>0</v>
      </c>
      <c r="AQ33" s="83" t="s">
        <v>867</v>
      </c>
      <c r="AR33" s="80" t="s">
        <v>196</v>
      </c>
      <c r="AS33" s="80">
        <v>0</v>
      </c>
      <c r="AT33" s="80">
        <v>0</v>
      </c>
      <c r="AU33" s="80"/>
      <c r="AV33" s="80"/>
      <c r="AW33" s="80"/>
      <c r="AX33" s="80"/>
      <c r="AY33" s="80"/>
      <c r="AZ33" s="80"/>
      <c r="BA33" s="80"/>
      <c r="BB33" s="80"/>
      <c r="BC33">
        <v>1</v>
      </c>
      <c r="BD33" s="79" t="str">
        <f>REPLACE(INDEX(GroupVertices[Group],MATCH(Edges25[[#This Row],[Vertex 1]],GroupVertices[Vertex],0)),1,1,"")</f>
        <v>1</v>
      </c>
      <c r="BE33" s="79" t="str">
        <f>REPLACE(INDEX(GroupVertices[Group],MATCH(Edges25[[#This Row],[Vertex 2]],GroupVertices[Vertex],0)),1,1,"")</f>
        <v>1</v>
      </c>
      <c r="BF33" s="49"/>
      <c r="BG33" s="50"/>
      <c r="BH33" s="49"/>
      <c r="BI33" s="50"/>
      <c r="BJ33" s="49"/>
      <c r="BK33" s="50"/>
      <c r="BL33" s="49"/>
      <c r="BM33" s="50"/>
      <c r="BN33" s="49"/>
    </row>
    <row r="34" spans="1:66" ht="15">
      <c r="A34" s="65" t="s">
        <v>262</v>
      </c>
      <c r="B34" s="65" t="s">
        <v>377</v>
      </c>
      <c r="C34" s="66"/>
      <c r="D34" s="67"/>
      <c r="E34" s="66"/>
      <c r="F34" s="69"/>
      <c r="G34" s="66"/>
      <c r="H34" s="70"/>
      <c r="I34" s="71"/>
      <c r="J34" s="71"/>
      <c r="K34" s="35" t="s">
        <v>65</v>
      </c>
      <c r="L34" s="72">
        <v>47</v>
      </c>
      <c r="M34" s="72"/>
      <c r="N34" s="73"/>
      <c r="O34" s="80" t="s">
        <v>407</v>
      </c>
      <c r="P34" s="82">
        <v>44476.41710648148</v>
      </c>
      <c r="Q34" s="80" t="s">
        <v>432</v>
      </c>
      <c r="R34" s="85" t="str">
        <f>HYPERLINK("https://econ.trib.al/UuLdSAj")</f>
        <v>https://econ.trib.al/UuLdSAj</v>
      </c>
      <c r="S34" s="80" t="s">
        <v>528</v>
      </c>
      <c r="T34" s="80"/>
      <c r="U34" s="80"/>
      <c r="V34" s="85" t="str">
        <f>HYPERLINK("https://abs.twimg.com/sticky/default_profile_images/default_profile_normal.png")</f>
        <v>https://abs.twimg.com/sticky/default_profile_images/default_profile_normal.png</v>
      </c>
      <c r="W34" s="82">
        <v>44476.41710648148</v>
      </c>
      <c r="X34" s="87">
        <v>44476</v>
      </c>
      <c r="Y34" s="83" t="s">
        <v>598</v>
      </c>
      <c r="Z34" s="85" t="str">
        <f>HYPERLINK("https://twitter.com/susanamdeleon2/status/1446052840716316677")</f>
        <v>https://twitter.com/susanamdeleon2/status/1446052840716316677</v>
      </c>
      <c r="AA34" s="80"/>
      <c r="AB34" s="80"/>
      <c r="AC34" s="83" t="s">
        <v>781</v>
      </c>
      <c r="AD34" s="80"/>
      <c r="AE34" s="80" t="b">
        <v>0</v>
      </c>
      <c r="AF34" s="80">
        <v>0</v>
      </c>
      <c r="AG34" s="83" t="s">
        <v>952</v>
      </c>
      <c r="AH34" s="80" t="b">
        <v>0</v>
      </c>
      <c r="AI34" s="80" t="s">
        <v>967</v>
      </c>
      <c r="AJ34" s="80"/>
      <c r="AK34" s="83" t="s">
        <v>952</v>
      </c>
      <c r="AL34" s="80" t="b">
        <v>0</v>
      </c>
      <c r="AM34" s="80">
        <v>11</v>
      </c>
      <c r="AN34" s="83" t="s">
        <v>894</v>
      </c>
      <c r="AO34" s="83" t="s">
        <v>979</v>
      </c>
      <c r="AP34" s="80" t="b">
        <v>0</v>
      </c>
      <c r="AQ34" s="83" t="s">
        <v>894</v>
      </c>
      <c r="AR34" s="80" t="s">
        <v>196</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9"/>
      <c r="BG34" s="50"/>
      <c r="BH34" s="49"/>
      <c r="BI34" s="50"/>
      <c r="BJ34" s="49"/>
      <c r="BK34" s="50"/>
      <c r="BL34" s="49"/>
      <c r="BM34" s="50"/>
      <c r="BN34" s="49"/>
    </row>
    <row r="35" spans="1:66" ht="15">
      <c r="A35" s="65" t="s">
        <v>263</v>
      </c>
      <c r="B35" s="65" t="s">
        <v>377</v>
      </c>
      <c r="C35" s="66"/>
      <c r="D35" s="67"/>
      <c r="E35" s="66"/>
      <c r="F35" s="69"/>
      <c r="G35" s="66"/>
      <c r="H35" s="70"/>
      <c r="I35" s="71"/>
      <c r="J35" s="71"/>
      <c r="K35" s="35" t="s">
        <v>65</v>
      </c>
      <c r="L35" s="72">
        <v>51</v>
      </c>
      <c r="M35" s="72"/>
      <c r="N35" s="73"/>
      <c r="O35" s="80" t="s">
        <v>407</v>
      </c>
      <c r="P35" s="82">
        <v>44476.41744212963</v>
      </c>
      <c r="Q35" s="80" t="s">
        <v>432</v>
      </c>
      <c r="R35" s="85" t="str">
        <f>HYPERLINK("https://econ.trib.al/UuLdSAj")</f>
        <v>https://econ.trib.al/UuLdSAj</v>
      </c>
      <c r="S35" s="80" t="s">
        <v>528</v>
      </c>
      <c r="T35" s="80"/>
      <c r="U35" s="80"/>
      <c r="V35" s="85" t="str">
        <f>HYPERLINK("https://pbs.twimg.com/profile_images/1406643177675579396/DmQjXVQ4_normal.jpg")</f>
        <v>https://pbs.twimg.com/profile_images/1406643177675579396/DmQjXVQ4_normal.jpg</v>
      </c>
      <c r="W35" s="82">
        <v>44476.41744212963</v>
      </c>
      <c r="X35" s="87">
        <v>44476</v>
      </c>
      <c r="Y35" s="83" t="s">
        <v>599</v>
      </c>
      <c r="Z35" s="85" t="str">
        <f>HYPERLINK("https://twitter.com/moh_nis/status/1446052962279649281")</f>
        <v>https://twitter.com/moh_nis/status/1446052962279649281</v>
      </c>
      <c r="AA35" s="80"/>
      <c r="AB35" s="80"/>
      <c r="AC35" s="83" t="s">
        <v>782</v>
      </c>
      <c r="AD35" s="80"/>
      <c r="AE35" s="80" t="b">
        <v>0</v>
      </c>
      <c r="AF35" s="80">
        <v>0</v>
      </c>
      <c r="AG35" s="83" t="s">
        <v>952</v>
      </c>
      <c r="AH35" s="80" t="b">
        <v>0</v>
      </c>
      <c r="AI35" s="80" t="s">
        <v>967</v>
      </c>
      <c r="AJ35" s="80"/>
      <c r="AK35" s="83" t="s">
        <v>952</v>
      </c>
      <c r="AL35" s="80" t="b">
        <v>0</v>
      </c>
      <c r="AM35" s="80">
        <v>11</v>
      </c>
      <c r="AN35" s="83" t="s">
        <v>894</v>
      </c>
      <c r="AO35" s="83" t="s">
        <v>976</v>
      </c>
      <c r="AP35" s="80" t="b">
        <v>0</v>
      </c>
      <c r="AQ35" s="83" t="s">
        <v>894</v>
      </c>
      <c r="AR35" s="80" t="s">
        <v>196</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9"/>
      <c r="BG35" s="50"/>
      <c r="BH35" s="49"/>
      <c r="BI35" s="50"/>
      <c r="BJ35" s="49"/>
      <c r="BK35" s="50"/>
      <c r="BL35" s="49"/>
      <c r="BM35" s="50"/>
      <c r="BN35" s="49"/>
    </row>
    <row r="36" spans="1:66" ht="15">
      <c r="A36" s="65" t="s">
        <v>264</v>
      </c>
      <c r="B36" s="65" t="s">
        <v>377</v>
      </c>
      <c r="C36" s="66"/>
      <c r="D36" s="67"/>
      <c r="E36" s="66"/>
      <c r="F36" s="69"/>
      <c r="G36" s="66"/>
      <c r="H36" s="70"/>
      <c r="I36" s="71"/>
      <c r="J36" s="71"/>
      <c r="K36" s="35" t="s">
        <v>65</v>
      </c>
      <c r="L36" s="72">
        <v>55</v>
      </c>
      <c r="M36" s="72"/>
      <c r="N36" s="73"/>
      <c r="O36" s="80" t="s">
        <v>407</v>
      </c>
      <c r="P36" s="82">
        <v>44476.41914351852</v>
      </c>
      <c r="Q36" s="80" t="s">
        <v>432</v>
      </c>
      <c r="R36" s="85" t="str">
        <f>HYPERLINK("https://econ.trib.al/UuLdSAj")</f>
        <v>https://econ.trib.al/UuLdSAj</v>
      </c>
      <c r="S36" s="80" t="s">
        <v>528</v>
      </c>
      <c r="T36" s="80"/>
      <c r="U36" s="80"/>
      <c r="V36" s="85" t="str">
        <f>HYPERLINK("https://pbs.twimg.com/profile_images/1221366082562211840/Hd6ovz0k_normal.jpg")</f>
        <v>https://pbs.twimg.com/profile_images/1221366082562211840/Hd6ovz0k_normal.jpg</v>
      </c>
      <c r="W36" s="82">
        <v>44476.41914351852</v>
      </c>
      <c r="X36" s="87">
        <v>44476</v>
      </c>
      <c r="Y36" s="83" t="s">
        <v>600</v>
      </c>
      <c r="Z36" s="85" t="str">
        <f>HYPERLINK("https://twitter.com/world_news_eng/status/1446053580113285124")</f>
        <v>https://twitter.com/world_news_eng/status/1446053580113285124</v>
      </c>
      <c r="AA36" s="80"/>
      <c r="AB36" s="80"/>
      <c r="AC36" s="83" t="s">
        <v>783</v>
      </c>
      <c r="AD36" s="80"/>
      <c r="AE36" s="80" t="b">
        <v>0</v>
      </c>
      <c r="AF36" s="80">
        <v>0</v>
      </c>
      <c r="AG36" s="83" t="s">
        <v>952</v>
      </c>
      <c r="AH36" s="80" t="b">
        <v>0</v>
      </c>
      <c r="AI36" s="80" t="s">
        <v>967</v>
      </c>
      <c r="AJ36" s="80"/>
      <c r="AK36" s="83" t="s">
        <v>952</v>
      </c>
      <c r="AL36" s="80" t="b">
        <v>0</v>
      </c>
      <c r="AM36" s="80">
        <v>11</v>
      </c>
      <c r="AN36" s="83" t="s">
        <v>894</v>
      </c>
      <c r="AO36" s="83" t="s">
        <v>264</v>
      </c>
      <c r="AP36" s="80" t="b">
        <v>0</v>
      </c>
      <c r="AQ36" s="83" t="s">
        <v>894</v>
      </c>
      <c r="AR36" s="80" t="s">
        <v>196</v>
      </c>
      <c r="AS36" s="80">
        <v>0</v>
      </c>
      <c r="AT36" s="80">
        <v>0</v>
      </c>
      <c r="AU36" s="80"/>
      <c r="AV36" s="80"/>
      <c r="AW36" s="80"/>
      <c r="AX36" s="80"/>
      <c r="AY36" s="80"/>
      <c r="AZ36" s="80"/>
      <c r="BA36" s="80"/>
      <c r="BB36" s="80"/>
      <c r="BC36">
        <v>1</v>
      </c>
      <c r="BD36" s="79" t="str">
        <f>REPLACE(INDEX(GroupVertices[Group],MATCH(Edges25[[#This Row],[Vertex 1]],GroupVertices[Vertex],0)),1,1,"")</f>
        <v>1</v>
      </c>
      <c r="BE36" s="79" t="str">
        <f>REPLACE(INDEX(GroupVertices[Group],MATCH(Edges25[[#This Row],[Vertex 2]],GroupVertices[Vertex],0)),1,1,"")</f>
        <v>1</v>
      </c>
      <c r="BF36" s="49"/>
      <c r="BG36" s="50"/>
      <c r="BH36" s="49"/>
      <c r="BI36" s="50"/>
      <c r="BJ36" s="49"/>
      <c r="BK36" s="50"/>
      <c r="BL36" s="49"/>
      <c r="BM36" s="50"/>
      <c r="BN36" s="49"/>
    </row>
    <row r="37" spans="1:66" ht="15">
      <c r="A37" s="65" t="s">
        <v>265</v>
      </c>
      <c r="B37" s="65" t="s">
        <v>377</v>
      </c>
      <c r="C37" s="66"/>
      <c r="D37" s="67"/>
      <c r="E37" s="66"/>
      <c r="F37" s="69"/>
      <c r="G37" s="66"/>
      <c r="H37" s="70"/>
      <c r="I37" s="71"/>
      <c r="J37" s="71"/>
      <c r="K37" s="35" t="s">
        <v>65</v>
      </c>
      <c r="L37" s="72">
        <v>59</v>
      </c>
      <c r="M37" s="72"/>
      <c r="N37" s="73"/>
      <c r="O37" s="80" t="s">
        <v>407</v>
      </c>
      <c r="P37" s="82">
        <v>44476.41956018518</v>
      </c>
      <c r="Q37" s="80" t="s">
        <v>432</v>
      </c>
      <c r="R37" s="85" t="str">
        <f>HYPERLINK("https://econ.trib.al/UuLdSAj")</f>
        <v>https://econ.trib.al/UuLdSAj</v>
      </c>
      <c r="S37" s="80" t="s">
        <v>528</v>
      </c>
      <c r="T37" s="80"/>
      <c r="U37" s="80"/>
      <c r="V37" s="85" t="str">
        <f>HYPERLINK("https://pbs.twimg.com/profile_images/1237392210636627968/4AaYQWX-_normal.jpg")</f>
        <v>https://pbs.twimg.com/profile_images/1237392210636627968/4AaYQWX-_normal.jpg</v>
      </c>
      <c r="W37" s="82">
        <v>44476.41956018518</v>
      </c>
      <c r="X37" s="87">
        <v>44476</v>
      </c>
      <c r="Y37" s="83" t="s">
        <v>601</v>
      </c>
      <c r="Z37" s="85" t="str">
        <f>HYPERLINK("https://twitter.com/ezeonufo/status/1446053732903424001")</f>
        <v>https://twitter.com/ezeonufo/status/1446053732903424001</v>
      </c>
      <c r="AA37" s="80"/>
      <c r="AB37" s="80"/>
      <c r="AC37" s="83" t="s">
        <v>784</v>
      </c>
      <c r="AD37" s="80"/>
      <c r="AE37" s="80" t="b">
        <v>0</v>
      </c>
      <c r="AF37" s="80">
        <v>0</v>
      </c>
      <c r="AG37" s="83" t="s">
        <v>952</v>
      </c>
      <c r="AH37" s="80" t="b">
        <v>0</v>
      </c>
      <c r="AI37" s="80" t="s">
        <v>967</v>
      </c>
      <c r="AJ37" s="80"/>
      <c r="AK37" s="83" t="s">
        <v>952</v>
      </c>
      <c r="AL37" s="80" t="b">
        <v>0</v>
      </c>
      <c r="AM37" s="80">
        <v>11</v>
      </c>
      <c r="AN37" s="83" t="s">
        <v>894</v>
      </c>
      <c r="AO37" s="83" t="s">
        <v>976</v>
      </c>
      <c r="AP37" s="80" t="b">
        <v>0</v>
      </c>
      <c r="AQ37" s="83" t="s">
        <v>894</v>
      </c>
      <c r="AR37" s="80" t="s">
        <v>196</v>
      </c>
      <c r="AS37" s="80">
        <v>0</v>
      </c>
      <c r="AT37" s="80">
        <v>0</v>
      </c>
      <c r="AU37" s="80"/>
      <c r="AV37" s="80"/>
      <c r="AW37" s="80"/>
      <c r="AX37" s="80"/>
      <c r="AY37" s="80"/>
      <c r="AZ37" s="80"/>
      <c r="BA37" s="80"/>
      <c r="BB37" s="80"/>
      <c r="BC37">
        <v>1</v>
      </c>
      <c r="BD37" s="79" t="str">
        <f>REPLACE(INDEX(GroupVertices[Group],MATCH(Edges25[[#This Row],[Vertex 1]],GroupVertices[Vertex],0)),1,1,"")</f>
        <v>1</v>
      </c>
      <c r="BE37" s="79" t="str">
        <f>REPLACE(INDEX(GroupVertices[Group],MATCH(Edges25[[#This Row],[Vertex 2]],GroupVertices[Vertex],0)),1,1,"")</f>
        <v>1</v>
      </c>
      <c r="BF37" s="49"/>
      <c r="BG37" s="50"/>
      <c r="BH37" s="49"/>
      <c r="BI37" s="50"/>
      <c r="BJ37" s="49"/>
      <c r="BK37" s="50"/>
      <c r="BL37" s="49"/>
      <c r="BM37" s="50"/>
      <c r="BN37" s="49"/>
    </row>
    <row r="38" spans="1:66" ht="15">
      <c r="A38" s="65" t="s">
        <v>266</v>
      </c>
      <c r="B38" s="65" t="s">
        <v>377</v>
      </c>
      <c r="C38" s="66"/>
      <c r="D38" s="67"/>
      <c r="E38" s="66"/>
      <c r="F38" s="69"/>
      <c r="G38" s="66"/>
      <c r="H38" s="70"/>
      <c r="I38" s="71"/>
      <c r="J38" s="71"/>
      <c r="K38" s="35" t="s">
        <v>65</v>
      </c>
      <c r="L38" s="72">
        <v>63</v>
      </c>
      <c r="M38" s="72"/>
      <c r="N38" s="73"/>
      <c r="O38" s="80" t="s">
        <v>407</v>
      </c>
      <c r="P38" s="82">
        <v>44476.42521990741</v>
      </c>
      <c r="Q38" s="80" t="s">
        <v>432</v>
      </c>
      <c r="R38" s="85" t="str">
        <f>HYPERLINK("https://econ.trib.al/UuLdSAj")</f>
        <v>https://econ.trib.al/UuLdSAj</v>
      </c>
      <c r="S38" s="80" t="s">
        <v>528</v>
      </c>
      <c r="T38" s="80"/>
      <c r="U38" s="80"/>
      <c r="V38" s="85" t="str">
        <f>HYPERLINK("https://pbs.twimg.com/profile_images/1428037507921371136/3s8BY1x4_normal.jpg")</f>
        <v>https://pbs.twimg.com/profile_images/1428037507921371136/3s8BY1x4_normal.jpg</v>
      </c>
      <c r="W38" s="82">
        <v>44476.42521990741</v>
      </c>
      <c r="X38" s="87">
        <v>44476</v>
      </c>
      <c r="Y38" s="83" t="s">
        <v>602</v>
      </c>
      <c r="Z38" s="85" t="str">
        <f>HYPERLINK("https://twitter.com/deucejaxon/status/1446055783146344451")</f>
        <v>https://twitter.com/deucejaxon/status/1446055783146344451</v>
      </c>
      <c r="AA38" s="80"/>
      <c r="AB38" s="80"/>
      <c r="AC38" s="83" t="s">
        <v>785</v>
      </c>
      <c r="AD38" s="80"/>
      <c r="AE38" s="80" t="b">
        <v>0</v>
      </c>
      <c r="AF38" s="80">
        <v>0</v>
      </c>
      <c r="AG38" s="83" t="s">
        <v>952</v>
      </c>
      <c r="AH38" s="80" t="b">
        <v>0</v>
      </c>
      <c r="AI38" s="80" t="s">
        <v>967</v>
      </c>
      <c r="AJ38" s="80"/>
      <c r="AK38" s="83" t="s">
        <v>952</v>
      </c>
      <c r="AL38" s="80" t="b">
        <v>0</v>
      </c>
      <c r="AM38" s="80">
        <v>11</v>
      </c>
      <c r="AN38" s="83" t="s">
        <v>894</v>
      </c>
      <c r="AO38" s="83" t="s">
        <v>972</v>
      </c>
      <c r="AP38" s="80" t="b">
        <v>0</v>
      </c>
      <c r="AQ38" s="83" t="s">
        <v>894</v>
      </c>
      <c r="AR38" s="80" t="s">
        <v>196</v>
      </c>
      <c r="AS38" s="80">
        <v>0</v>
      </c>
      <c r="AT38" s="80">
        <v>0</v>
      </c>
      <c r="AU38" s="80"/>
      <c r="AV38" s="80"/>
      <c r="AW38" s="80"/>
      <c r="AX38" s="80"/>
      <c r="AY38" s="80"/>
      <c r="AZ38" s="80"/>
      <c r="BA38" s="80"/>
      <c r="BB38" s="80"/>
      <c r="BC38">
        <v>1</v>
      </c>
      <c r="BD38" s="79" t="str">
        <f>REPLACE(INDEX(GroupVertices[Group],MATCH(Edges25[[#This Row],[Vertex 1]],GroupVertices[Vertex],0)),1,1,"")</f>
        <v>1</v>
      </c>
      <c r="BE38" s="79" t="str">
        <f>REPLACE(INDEX(GroupVertices[Group],MATCH(Edges25[[#This Row],[Vertex 2]],GroupVertices[Vertex],0)),1,1,"")</f>
        <v>1</v>
      </c>
      <c r="BF38" s="49"/>
      <c r="BG38" s="50"/>
      <c r="BH38" s="49"/>
      <c r="BI38" s="50"/>
      <c r="BJ38" s="49"/>
      <c r="BK38" s="50"/>
      <c r="BL38" s="49"/>
      <c r="BM38" s="50"/>
      <c r="BN38" s="49"/>
    </row>
    <row r="39" spans="1:66" ht="15">
      <c r="A39" s="65" t="s">
        <v>267</v>
      </c>
      <c r="B39" s="65" t="s">
        <v>314</v>
      </c>
      <c r="C39" s="66"/>
      <c r="D39" s="67"/>
      <c r="E39" s="66"/>
      <c r="F39" s="69"/>
      <c r="G39" s="66"/>
      <c r="H39" s="70"/>
      <c r="I39" s="71"/>
      <c r="J39" s="71"/>
      <c r="K39" s="35" t="s">
        <v>65</v>
      </c>
      <c r="L39" s="72">
        <v>67</v>
      </c>
      <c r="M39" s="72"/>
      <c r="N39" s="73"/>
      <c r="O39" s="80" t="s">
        <v>408</v>
      </c>
      <c r="P39" s="82">
        <v>44476.4399537037</v>
      </c>
      <c r="Q39" s="80" t="s">
        <v>433</v>
      </c>
      <c r="R39" s="85" t="str">
        <f>HYPERLINK("https://plantbasednews.org/news/australian-company-create-cell-based-meat-from-exotic-animals/")</f>
        <v>https://plantbasednews.org/news/australian-company-create-cell-based-meat-from-exotic-animals/</v>
      </c>
      <c r="S39" s="80" t="s">
        <v>529</v>
      </c>
      <c r="T39" s="80"/>
      <c r="U39" s="80"/>
      <c r="V39" s="85" t="str">
        <f>HYPERLINK("https://pbs.twimg.com/profile_images/1336618044135600129/fiaagpi6_normal.jpg")</f>
        <v>https://pbs.twimg.com/profile_images/1336618044135600129/fiaagpi6_normal.jpg</v>
      </c>
      <c r="W39" s="82">
        <v>44476.4399537037</v>
      </c>
      <c r="X39" s="87">
        <v>44476</v>
      </c>
      <c r="Y39" s="83" t="s">
        <v>603</v>
      </c>
      <c r="Z39" s="85" t="str">
        <f>HYPERLINK("https://twitter.com/andrew41544161/status/1446061121128091654")</f>
        <v>https://twitter.com/andrew41544161/status/1446061121128091654</v>
      </c>
      <c r="AA39" s="80"/>
      <c r="AB39" s="80"/>
      <c r="AC39" s="83" t="s">
        <v>786</v>
      </c>
      <c r="AD39" s="80"/>
      <c r="AE39" s="80" t="b">
        <v>0</v>
      </c>
      <c r="AF39" s="80">
        <v>0</v>
      </c>
      <c r="AG39" s="83" t="s">
        <v>952</v>
      </c>
      <c r="AH39" s="80" t="b">
        <v>0</v>
      </c>
      <c r="AI39" s="80" t="s">
        <v>967</v>
      </c>
      <c r="AJ39" s="80"/>
      <c r="AK39" s="83" t="s">
        <v>952</v>
      </c>
      <c r="AL39" s="80" t="b">
        <v>0</v>
      </c>
      <c r="AM39" s="80">
        <v>4</v>
      </c>
      <c r="AN39" s="83" t="s">
        <v>838</v>
      </c>
      <c r="AO39" s="83" t="s">
        <v>972</v>
      </c>
      <c r="AP39" s="80" t="b">
        <v>0</v>
      </c>
      <c r="AQ39" s="83" t="s">
        <v>838</v>
      </c>
      <c r="AR39" s="80" t="s">
        <v>196</v>
      </c>
      <c r="AS39" s="80">
        <v>0</v>
      </c>
      <c r="AT39" s="80">
        <v>0</v>
      </c>
      <c r="AU39" s="80"/>
      <c r="AV39" s="80"/>
      <c r="AW39" s="80"/>
      <c r="AX39" s="80"/>
      <c r="AY39" s="80"/>
      <c r="AZ39" s="80"/>
      <c r="BA39" s="80"/>
      <c r="BB39" s="80"/>
      <c r="BC39">
        <v>1</v>
      </c>
      <c r="BD39" s="79" t="str">
        <f>REPLACE(INDEX(GroupVertices[Group],MATCH(Edges25[[#This Row],[Vertex 1]],GroupVertices[Vertex],0)),1,1,"")</f>
        <v>14</v>
      </c>
      <c r="BE39" s="79" t="str">
        <f>REPLACE(INDEX(GroupVertices[Group],MATCH(Edges25[[#This Row],[Vertex 2]],GroupVertices[Vertex],0)),1,1,"")</f>
        <v>14</v>
      </c>
      <c r="BF39" s="49">
        <v>1</v>
      </c>
      <c r="BG39" s="50">
        <v>7.142857142857143</v>
      </c>
      <c r="BH39" s="49">
        <v>0</v>
      </c>
      <c r="BI39" s="50">
        <v>0</v>
      </c>
      <c r="BJ39" s="49">
        <v>0</v>
      </c>
      <c r="BK39" s="50">
        <v>0</v>
      </c>
      <c r="BL39" s="49">
        <v>13</v>
      </c>
      <c r="BM39" s="50">
        <v>92.85714285714286</v>
      </c>
      <c r="BN39" s="49">
        <v>14</v>
      </c>
    </row>
    <row r="40" spans="1:66" ht="15">
      <c r="A40" s="65" t="s">
        <v>268</v>
      </c>
      <c r="B40" s="65" t="s">
        <v>377</v>
      </c>
      <c r="C40" s="66"/>
      <c r="D40" s="67"/>
      <c r="E40" s="66"/>
      <c r="F40" s="69"/>
      <c r="G40" s="66"/>
      <c r="H40" s="70"/>
      <c r="I40" s="71"/>
      <c r="J40" s="71"/>
      <c r="K40" s="35" t="s">
        <v>65</v>
      </c>
      <c r="L40" s="72">
        <v>68</v>
      </c>
      <c r="M40" s="72"/>
      <c r="N40" s="73"/>
      <c r="O40" s="80" t="s">
        <v>407</v>
      </c>
      <c r="P40" s="82">
        <v>44476.45662037037</v>
      </c>
      <c r="Q40" s="80" t="s">
        <v>432</v>
      </c>
      <c r="R40" s="85" t="str">
        <f>HYPERLINK("https://econ.trib.al/UuLdSAj")</f>
        <v>https://econ.trib.al/UuLdSAj</v>
      </c>
      <c r="S40" s="80" t="s">
        <v>528</v>
      </c>
      <c r="T40" s="80"/>
      <c r="U40" s="80"/>
      <c r="V40" s="85" t="str">
        <f>HYPERLINK("https://pbs.twimg.com/profile_images/1446880773617840134/cgmXbaXq_normal.jpg")</f>
        <v>https://pbs.twimg.com/profile_images/1446880773617840134/cgmXbaXq_normal.jpg</v>
      </c>
      <c r="W40" s="82">
        <v>44476.45662037037</v>
      </c>
      <c r="X40" s="87">
        <v>44476</v>
      </c>
      <c r="Y40" s="83" t="s">
        <v>604</v>
      </c>
      <c r="Z40" s="85" t="str">
        <f>HYPERLINK("https://twitter.com/y_supansa/status/1446067160829227009")</f>
        <v>https://twitter.com/y_supansa/status/1446067160829227009</v>
      </c>
      <c r="AA40" s="80"/>
      <c r="AB40" s="80"/>
      <c r="AC40" s="83" t="s">
        <v>787</v>
      </c>
      <c r="AD40" s="80"/>
      <c r="AE40" s="80" t="b">
        <v>0</v>
      </c>
      <c r="AF40" s="80">
        <v>0</v>
      </c>
      <c r="AG40" s="83" t="s">
        <v>952</v>
      </c>
      <c r="AH40" s="80" t="b">
        <v>0</v>
      </c>
      <c r="AI40" s="80" t="s">
        <v>967</v>
      </c>
      <c r="AJ40" s="80"/>
      <c r="AK40" s="83" t="s">
        <v>952</v>
      </c>
      <c r="AL40" s="80" t="b">
        <v>0</v>
      </c>
      <c r="AM40" s="80">
        <v>11</v>
      </c>
      <c r="AN40" s="83" t="s">
        <v>894</v>
      </c>
      <c r="AO40" s="83" t="s">
        <v>976</v>
      </c>
      <c r="AP40" s="80" t="b">
        <v>0</v>
      </c>
      <c r="AQ40" s="83" t="s">
        <v>894</v>
      </c>
      <c r="AR40" s="80" t="s">
        <v>196</v>
      </c>
      <c r="AS40" s="80">
        <v>0</v>
      </c>
      <c r="AT40" s="80">
        <v>0</v>
      </c>
      <c r="AU40" s="80"/>
      <c r="AV40" s="80"/>
      <c r="AW40" s="80"/>
      <c r="AX40" s="80"/>
      <c r="AY40" s="80"/>
      <c r="AZ40" s="80"/>
      <c r="BA40" s="80"/>
      <c r="BB40" s="80"/>
      <c r="BC40">
        <v>1</v>
      </c>
      <c r="BD40" s="79" t="str">
        <f>REPLACE(INDEX(GroupVertices[Group],MATCH(Edges25[[#This Row],[Vertex 1]],GroupVertices[Vertex],0)),1,1,"")</f>
        <v>1</v>
      </c>
      <c r="BE40" s="79" t="str">
        <f>REPLACE(INDEX(GroupVertices[Group],MATCH(Edges25[[#This Row],[Vertex 2]],GroupVertices[Vertex],0)),1,1,"")</f>
        <v>1</v>
      </c>
      <c r="BF40" s="49"/>
      <c r="BG40" s="50"/>
      <c r="BH40" s="49"/>
      <c r="BI40" s="50"/>
      <c r="BJ40" s="49"/>
      <c r="BK40" s="50"/>
      <c r="BL40" s="49"/>
      <c r="BM40" s="50"/>
      <c r="BN40" s="49"/>
    </row>
    <row r="41" spans="1:66" ht="15">
      <c r="A41" s="65" t="s">
        <v>269</v>
      </c>
      <c r="B41" s="65" t="s">
        <v>269</v>
      </c>
      <c r="C41" s="66"/>
      <c r="D41" s="67"/>
      <c r="E41" s="66"/>
      <c r="F41" s="69"/>
      <c r="G41" s="66"/>
      <c r="H41" s="70"/>
      <c r="I41" s="71"/>
      <c r="J41" s="71"/>
      <c r="K41" s="35" t="s">
        <v>65</v>
      </c>
      <c r="L41" s="72">
        <v>72</v>
      </c>
      <c r="M41" s="72"/>
      <c r="N41" s="73"/>
      <c r="O41" s="80" t="s">
        <v>196</v>
      </c>
      <c r="P41" s="82">
        <v>44467.54224537037</v>
      </c>
      <c r="Q41" s="80" t="s">
        <v>434</v>
      </c>
      <c r="R41" s="85" t="str">
        <f>HYPERLINK("https://www.foodpolitics.com/2021/09/meat-alternatives-cell-based/")</f>
        <v>https://www.foodpolitics.com/2021/09/meat-alternatives-cell-based/</v>
      </c>
      <c r="S41" s="80" t="s">
        <v>530</v>
      </c>
      <c r="T41" s="80"/>
      <c r="U41" s="80"/>
      <c r="V41" s="85" t="str">
        <f>HYPERLINK("https://pbs.twimg.com/profile_images/993312802654765057/E-GFQ2Ne_normal.jpg")</f>
        <v>https://pbs.twimg.com/profile_images/993312802654765057/E-GFQ2Ne_normal.jpg</v>
      </c>
      <c r="W41" s="82">
        <v>44467.54224537037</v>
      </c>
      <c r="X41" s="87">
        <v>44467</v>
      </c>
      <c r="Y41" s="83" t="s">
        <v>605</v>
      </c>
      <c r="Z41" s="85" t="str">
        <f>HYPERLINK("https://twitter.com/marionnestle/status/1442836700049428481")</f>
        <v>https://twitter.com/marionnestle/status/1442836700049428481</v>
      </c>
      <c r="AA41" s="80"/>
      <c r="AB41" s="80"/>
      <c r="AC41" s="83" t="s">
        <v>788</v>
      </c>
      <c r="AD41" s="80"/>
      <c r="AE41" s="80" t="b">
        <v>0</v>
      </c>
      <c r="AF41" s="80">
        <v>14</v>
      </c>
      <c r="AG41" s="83" t="s">
        <v>952</v>
      </c>
      <c r="AH41" s="80" t="b">
        <v>0</v>
      </c>
      <c r="AI41" s="80" t="s">
        <v>967</v>
      </c>
      <c r="AJ41" s="80"/>
      <c r="AK41" s="83" t="s">
        <v>952</v>
      </c>
      <c r="AL41" s="80" t="b">
        <v>0</v>
      </c>
      <c r="AM41" s="80">
        <v>5</v>
      </c>
      <c r="AN41" s="83" t="s">
        <v>952</v>
      </c>
      <c r="AO41" s="83" t="s">
        <v>980</v>
      </c>
      <c r="AP41" s="80" t="b">
        <v>0</v>
      </c>
      <c r="AQ41" s="83" t="s">
        <v>788</v>
      </c>
      <c r="AR41" s="80" t="s">
        <v>408</v>
      </c>
      <c r="AS41" s="80">
        <v>0</v>
      </c>
      <c r="AT41" s="80">
        <v>0</v>
      </c>
      <c r="AU41" s="80"/>
      <c r="AV41" s="80"/>
      <c r="AW41" s="80"/>
      <c r="AX41" s="80"/>
      <c r="AY41" s="80"/>
      <c r="AZ41" s="80"/>
      <c r="BA41" s="80"/>
      <c r="BB41" s="80"/>
      <c r="BC41">
        <v>1</v>
      </c>
      <c r="BD41" s="79" t="str">
        <f>REPLACE(INDEX(GroupVertices[Group],MATCH(Edges25[[#This Row],[Vertex 1]],GroupVertices[Vertex],0)),1,1,"")</f>
        <v>24</v>
      </c>
      <c r="BE41" s="79" t="str">
        <f>REPLACE(INDEX(GroupVertices[Group],MATCH(Edges25[[#This Row],[Vertex 2]],GroupVertices[Vertex],0)),1,1,"")</f>
        <v>24</v>
      </c>
      <c r="BF41" s="49">
        <v>0</v>
      </c>
      <c r="BG41" s="50">
        <v>0</v>
      </c>
      <c r="BH41" s="49">
        <v>0</v>
      </c>
      <c r="BI41" s="50">
        <v>0</v>
      </c>
      <c r="BJ41" s="49">
        <v>0</v>
      </c>
      <c r="BK41" s="50">
        <v>0</v>
      </c>
      <c r="BL41" s="49">
        <v>4</v>
      </c>
      <c r="BM41" s="50">
        <v>100</v>
      </c>
      <c r="BN41" s="49">
        <v>4</v>
      </c>
    </row>
    <row r="42" spans="1:66" ht="15">
      <c r="A42" s="65" t="s">
        <v>270</v>
      </c>
      <c r="B42" s="65" t="s">
        <v>269</v>
      </c>
      <c r="C42" s="66"/>
      <c r="D42" s="67"/>
      <c r="E42" s="66"/>
      <c r="F42" s="69"/>
      <c r="G42" s="66"/>
      <c r="H42" s="70"/>
      <c r="I42" s="71"/>
      <c r="J42" s="71"/>
      <c r="K42" s="35" t="s">
        <v>65</v>
      </c>
      <c r="L42" s="72">
        <v>73</v>
      </c>
      <c r="M42" s="72"/>
      <c r="N42" s="73"/>
      <c r="O42" s="80" t="s">
        <v>408</v>
      </c>
      <c r="P42" s="82">
        <v>44476.487905092596</v>
      </c>
      <c r="Q42" s="80" t="s">
        <v>434</v>
      </c>
      <c r="R42" s="85" t="str">
        <f>HYPERLINK("https://www.foodpolitics.com/2021/09/meat-alternatives-cell-based/")</f>
        <v>https://www.foodpolitics.com/2021/09/meat-alternatives-cell-based/</v>
      </c>
      <c r="S42" s="80" t="s">
        <v>530</v>
      </c>
      <c r="T42" s="80"/>
      <c r="U42" s="80"/>
      <c r="V42" s="85" t="str">
        <f>HYPERLINK("https://pbs.twimg.com/profile_images/1200220758598750208/7cL1vRFe_normal.jpg")</f>
        <v>https://pbs.twimg.com/profile_images/1200220758598750208/7cL1vRFe_normal.jpg</v>
      </c>
      <c r="W42" s="82">
        <v>44476.487905092596</v>
      </c>
      <c r="X42" s="87">
        <v>44476</v>
      </c>
      <c r="Y42" s="83" t="s">
        <v>606</v>
      </c>
      <c r="Z42" s="85" t="str">
        <f>HYPERLINK("https://twitter.com/jessica_raneri/status/1446078496640409602")</f>
        <v>https://twitter.com/jessica_raneri/status/1446078496640409602</v>
      </c>
      <c r="AA42" s="80"/>
      <c r="AB42" s="80"/>
      <c r="AC42" s="83" t="s">
        <v>789</v>
      </c>
      <c r="AD42" s="80"/>
      <c r="AE42" s="80" t="b">
        <v>0</v>
      </c>
      <c r="AF42" s="80">
        <v>0</v>
      </c>
      <c r="AG42" s="83" t="s">
        <v>952</v>
      </c>
      <c r="AH42" s="80" t="b">
        <v>0</v>
      </c>
      <c r="AI42" s="80" t="s">
        <v>967</v>
      </c>
      <c r="AJ42" s="80"/>
      <c r="AK42" s="83" t="s">
        <v>952</v>
      </c>
      <c r="AL42" s="80" t="b">
        <v>0</v>
      </c>
      <c r="AM42" s="80">
        <v>5</v>
      </c>
      <c r="AN42" s="83" t="s">
        <v>788</v>
      </c>
      <c r="AO42" s="83" t="s">
        <v>979</v>
      </c>
      <c r="AP42" s="80" t="b">
        <v>0</v>
      </c>
      <c r="AQ42" s="83" t="s">
        <v>788</v>
      </c>
      <c r="AR42" s="80" t="s">
        <v>196</v>
      </c>
      <c r="AS42" s="80">
        <v>0</v>
      </c>
      <c r="AT42" s="80">
        <v>0</v>
      </c>
      <c r="AU42" s="80"/>
      <c r="AV42" s="80"/>
      <c r="AW42" s="80"/>
      <c r="AX42" s="80"/>
      <c r="AY42" s="80"/>
      <c r="AZ42" s="80"/>
      <c r="BA42" s="80"/>
      <c r="BB42" s="80"/>
      <c r="BC42">
        <v>1</v>
      </c>
      <c r="BD42" s="79" t="str">
        <f>REPLACE(INDEX(GroupVertices[Group],MATCH(Edges25[[#This Row],[Vertex 1]],GroupVertices[Vertex],0)),1,1,"")</f>
        <v>24</v>
      </c>
      <c r="BE42" s="79" t="str">
        <f>REPLACE(INDEX(GroupVertices[Group],MATCH(Edges25[[#This Row],[Vertex 2]],GroupVertices[Vertex],0)),1,1,"")</f>
        <v>24</v>
      </c>
      <c r="BF42" s="49">
        <v>0</v>
      </c>
      <c r="BG42" s="50">
        <v>0</v>
      </c>
      <c r="BH42" s="49">
        <v>0</v>
      </c>
      <c r="BI42" s="50">
        <v>0</v>
      </c>
      <c r="BJ42" s="49">
        <v>0</v>
      </c>
      <c r="BK42" s="50">
        <v>0</v>
      </c>
      <c r="BL42" s="49">
        <v>4</v>
      </c>
      <c r="BM42" s="50">
        <v>100</v>
      </c>
      <c r="BN42" s="49">
        <v>4</v>
      </c>
    </row>
    <row r="43" spans="1:66" ht="15">
      <c r="A43" s="65" t="s">
        <v>271</v>
      </c>
      <c r="B43" s="65" t="s">
        <v>271</v>
      </c>
      <c r="C43" s="66"/>
      <c r="D43" s="67"/>
      <c r="E43" s="66"/>
      <c r="F43" s="69"/>
      <c r="G43" s="66"/>
      <c r="H43" s="70"/>
      <c r="I43" s="71"/>
      <c r="J43" s="71"/>
      <c r="K43" s="35" t="s">
        <v>65</v>
      </c>
      <c r="L43" s="72">
        <v>74</v>
      </c>
      <c r="M43" s="72"/>
      <c r="N43" s="73"/>
      <c r="O43" s="80" t="s">
        <v>196</v>
      </c>
      <c r="P43" s="82">
        <v>44476.495046296295</v>
      </c>
      <c r="Q43" s="80" t="s">
        <v>435</v>
      </c>
      <c r="R43" s="85" t="str">
        <f>HYPERLINK("https://twitter.com/gregory_chupa/status/1446080921363492868")</f>
        <v>https://twitter.com/gregory_chupa/status/1446080921363492868</v>
      </c>
      <c r="S43" s="80" t="s">
        <v>531</v>
      </c>
      <c r="T43" s="80"/>
      <c r="U43" s="80"/>
      <c r="V43" s="85" t="str">
        <f>HYPERLINK("https://pbs.twimg.com/profile_images/1188859816099373056/op_8mGKQ_normal.jpg")</f>
        <v>https://pbs.twimg.com/profile_images/1188859816099373056/op_8mGKQ_normal.jpg</v>
      </c>
      <c r="W43" s="82">
        <v>44476.495046296295</v>
      </c>
      <c r="X43" s="87">
        <v>44476</v>
      </c>
      <c r="Y43" s="83" t="s">
        <v>607</v>
      </c>
      <c r="Z43" s="85" t="str">
        <f>HYPERLINK("https://twitter.com/gregory_chupa/status/1446081087604760582")</f>
        <v>https://twitter.com/gregory_chupa/status/1446081087604760582</v>
      </c>
      <c r="AA43" s="80"/>
      <c r="AB43" s="80"/>
      <c r="AC43" s="83" t="s">
        <v>790</v>
      </c>
      <c r="AD43" s="80"/>
      <c r="AE43" s="80" t="b">
        <v>0</v>
      </c>
      <c r="AF43" s="80">
        <v>0</v>
      </c>
      <c r="AG43" s="83" t="s">
        <v>952</v>
      </c>
      <c r="AH43" s="80" t="b">
        <v>1</v>
      </c>
      <c r="AI43" s="80" t="s">
        <v>967</v>
      </c>
      <c r="AJ43" s="80"/>
      <c r="AK43" s="83" t="s">
        <v>971</v>
      </c>
      <c r="AL43" s="80" t="b">
        <v>0</v>
      </c>
      <c r="AM43" s="80">
        <v>0</v>
      </c>
      <c r="AN43" s="83" t="s">
        <v>952</v>
      </c>
      <c r="AO43" s="83" t="s">
        <v>972</v>
      </c>
      <c r="AP43" s="80" t="b">
        <v>0</v>
      </c>
      <c r="AQ43" s="83" t="s">
        <v>790</v>
      </c>
      <c r="AR43" s="80" t="s">
        <v>196</v>
      </c>
      <c r="AS43" s="80">
        <v>0</v>
      </c>
      <c r="AT43" s="80">
        <v>0</v>
      </c>
      <c r="AU43" s="80"/>
      <c r="AV43" s="80"/>
      <c r="AW43" s="80"/>
      <c r="AX43" s="80"/>
      <c r="AY43" s="80"/>
      <c r="AZ43" s="80"/>
      <c r="BA43" s="80"/>
      <c r="BB43" s="80"/>
      <c r="BC43">
        <v>1</v>
      </c>
      <c r="BD43" s="79" t="str">
        <f>REPLACE(INDEX(GroupVertices[Group],MATCH(Edges25[[#This Row],[Vertex 1]],GroupVertices[Vertex],0)),1,1,"")</f>
        <v>2</v>
      </c>
      <c r="BE43" s="79" t="str">
        <f>REPLACE(INDEX(GroupVertices[Group],MATCH(Edges25[[#This Row],[Vertex 2]],GroupVertices[Vertex],0)),1,1,"")</f>
        <v>2</v>
      </c>
      <c r="BF43" s="49">
        <v>1</v>
      </c>
      <c r="BG43" s="50">
        <v>1.6666666666666667</v>
      </c>
      <c r="BH43" s="49">
        <v>1</v>
      </c>
      <c r="BI43" s="50">
        <v>1.6666666666666667</v>
      </c>
      <c r="BJ43" s="49">
        <v>0</v>
      </c>
      <c r="BK43" s="50">
        <v>0</v>
      </c>
      <c r="BL43" s="49">
        <v>58</v>
      </c>
      <c r="BM43" s="50">
        <v>96.66666666666667</v>
      </c>
      <c r="BN43" s="49">
        <v>60</v>
      </c>
    </row>
    <row r="44" spans="1:66" ht="15">
      <c r="A44" s="65" t="s">
        <v>272</v>
      </c>
      <c r="B44" s="65" t="s">
        <v>377</v>
      </c>
      <c r="C44" s="66"/>
      <c r="D44" s="67"/>
      <c r="E44" s="66"/>
      <c r="F44" s="69"/>
      <c r="G44" s="66"/>
      <c r="H44" s="70"/>
      <c r="I44" s="71"/>
      <c r="J44" s="71"/>
      <c r="K44" s="35" t="s">
        <v>65</v>
      </c>
      <c r="L44" s="72">
        <v>75</v>
      </c>
      <c r="M44" s="72"/>
      <c r="N44" s="73"/>
      <c r="O44" s="80" t="s">
        <v>407</v>
      </c>
      <c r="P44" s="82">
        <v>44476.543171296296</v>
      </c>
      <c r="Q44" s="80" t="s">
        <v>432</v>
      </c>
      <c r="R44" s="85" t="str">
        <f>HYPERLINK("https://econ.trib.al/UuLdSAj")</f>
        <v>https://econ.trib.al/UuLdSAj</v>
      </c>
      <c r="S44" s="80" t="s">
        <v>528</v>
      </c>
      <c r="T44" s="80"/>
      <c r="U44" s="80"/>
      <c r="V44" s="85" t="str">
        <f>HYPERLINK("https://pbs.twimg.com/profile_images/945159517150388224/xvUeEWtp_normal.jpg")</f>
        <v>https://pbs.twimg.com/profile_images/945159517150388224/xvUeEWtp_normal.jpg</v>
      </c>
      <c r="W44" s="82">
        <v>44476.543171296296</v>
      </c>
      <c r="X44" s="87">
        <v>44476</v>
      </c>
      <c r="Y44" s="83" t="s">
        <v>608</v>
      </c>
      <c r="Z44" s="85" t="str">
        <f>HYPERLINK("https://twitter.com/glorydey1/status/1446098525331230723")</f>
        <v>https://twitter.com/glorydey1/status/1446098525331230723</v>
      </c>
      <c r="AA44" s="80"/>
      <c r="AB44" s="80"/>
      <c r="AC44" s="83" t="s">
        <v>791</v>
      </c>
      <c r="AD44" s="80"/>
      <c r="AE44" s="80" t="b">
        <v>0</v>
      </c>
      <c r="AF44" s="80">
        <v>0</v>
      </c>
      <c r="AG44" s="83" t="s">
        <v>952</v>
      </c>
      <c r="AH44" s="80" t="b">
        <v>0</v>
      </c>
      <c r="AI44" s="80" t="s">
        <v>967</v>
      </c>
      <c r="AJ44" s="80"/>
      <c r="AK44" s="83" t="s">
        <v>952</v>
      </c>
      <c r="AL44" s="80" t="b">
        <v>0</v>
      </c>
      <c r="AM44" s="80">
        <v>11</v>
      </c>
      <c r="AN44" s="83" t="s">
        <v>894</v>
      </c>
      <c r="AO44" s="83" t="s">
        <v>979</v>
      </c>
      <c r="AP44" s="80" t="b">
        <v>0</v>
      </c>
      <c r="AQ44" s="83" t="s">
        <v>894</v>
      </c>
      <c r="AR44" s="80" t="s">
        <v>196</v>
      </c>
      <c r="AS44" s="80">
        <v>0</v>
      </c>
      <c r="AT44" s="80">
        <v>0</v>
      </c>
      <c r="AU44" s="80"/>
      <c r="AV44" s="80"/>
      <c r="AW44" s="80"/>
      <c r="AX44" s="80"/>
      <c r="AY44" s="80"/>
      <c r="AZ44" s="80"/>
      <c r="BA44" s="80"/>
      <c r="BB44" s="80"/>
      <c r="BC44">
        <v>1</v>
      </c>
      <c r="BD44" s="79" t="str">
        <f>REPLACE(INDEX(GroupVertices[Group],MATCH(Edges25[[#This Row],[Vertex 1]],GroupVertices[Vertex],0)),1,1,"")</f>
        <v>1</v>
      </c>
      <c r="BE44" s="79" t="str">
        <f>REPLACE(INDEX(GroupVertices[Group],MATCH(Edges25[[#This Row],[Vertex 2]],GroupVertices[Vertex],0)),1,1,"")</f>
        <v>1</v>
      </c>
      <c r="BF44" s="49"/>
      <c r="BG44" s="50"/>
      <c r="BH44" s="49"/>
      <c r="BI44" s="50"/>
      <c r="BJ44" s="49"/>
      <c r="BK44" s="50"/>
      <c r="BL44" s="49"/>
      <c r="BM44" s="50"/>
      <c r="BN44" s="49"/>
    </row>
    <row r="45" spans="1:66" ht="15">
      <c r="A45" s="65" t="s">
        <v>273</v>
      </c>
      <c r="B45" s="65" t="s">
        <v>379</v>
      </c>
      <c r="C45" s="66"/>
      <c r="D45" s="67"/>
      <c r="E45" s="66"/>
      <c r="F45" s="69"/>
      <c r="G45" s="66"/>
      <c r="H45" s="70"/>
      <c r="I45" s="71"/>
      <c r="J45" s="71"/>
      <c r="K45" s="35" t="s">
        <v>65</v>
      </c>
      <c r="L45" s="72">
        <v>79</v>
      </c>
      <c r="M45" s="72"/>
      <c r="N45" s="73"/>
      <c r="O45" s="80" t="s">
        <v>409</v>
      </c>
      <c r="P45" s="82">
        <v>44476.79871527778</v>
      </c>
      <c r="Q45" s="80" t="s">
        <v>436</v>
      </c>
      <c r="R45" s="80"/>
      <c r="S45" s="80"/>
      <c r="T45" s="80"/>
      <c r="U45" s="80"/>
      <c r="V45" s="85" t="str">
        <f>HYPERLINK("https://pbs.twimg.com/profile_images/1428045708771352578/1-ghqROX_normal.jpg")</f>
        <v>https://pbs.twimg.com/profile_images/1428045708771352578/1-ghqROX_normal.jpg</v>
      </c>
      <c r="W45" s="82">
        <v>44476.79871527778</v>
      </c>
      <c r="X45" s="87">
        <v>44476</v>
      </c>
      <c r="Y45" s="83" t="s">
        <v>609</v>
      </c>
      <c r="Z45" s="85" t="str">
        <f>HYPERLINK("https://twitter.com/steve_ia_hill/status/1446191133089046528")</f>
        <v>https://twitter.com/steve_ia_hill/status/1446191133089046528</v>
      </c>
      <c r="AA45" s="80"/>
      <c r="AB45" s="80"/>
      <c r="AC45" s="83" t="s">
        <v>792</v>
      </c>
      <c r="AD45" s="83" t="s">
        <v>940</v>
      </c>
      <c r="AE45" s="80" t="b">
        <v>0</v>
      </c>
      <c r="AF45" s="80">
        <v>3</v>
      </c>
      <c r="AG45" s="83" t="s">
        <v>955</v>
      </c>
      <c r="AH45" s="80" t="b">
        <v>0</v>
      </c>
      <c r="AI45" s="80" t="s">
        <v>967</v>
      </c>
      <c r="AJ45" s="80"/>
      <c r="AK45" s="83" t="s">
        <v>952</v>
      </c>
      <c r="AL45" s="80" t="b">
        <v>0</v>
      </c>
      <c r="AM45" s="80">
        <v>0</v>
      </c>
      <c r="AN45" s="83" t="s">
        <v>952</v>
      </c>
      <c r="AO45" s="83" t="s">
        <v>979</v>
      </c>
      <c r="AP45" s="80" t="b">
        <v>0</v>
      </c>
      <c r="AQ45" s="83" t="s">
        <v>940</v>
      </c>
      <c r="AR45" s="80" t="s">
        <v>196</v>
      </c>
      <c r="AS45" s="80">
        <v>0</v>
      </c>
      <c r="AT45" s="80">
        <v>0</v>
      </c>
      <c r="AU45" s="80"/>
      <c r="AV45" s="80"/>
      <c r="AW45" s="80"/>
      <c r="AX45" s="80"/>
      <c r="AY45" s="80"/>
      <c r="AZ45" s="80"/>
      <c r="BA45" s="80"/>
      <c r="BB45" s="80"/>
      <c r="BC45">
        <v>1</v>
      </c>
      <c r="BD45" s="79" t="str">
        <f>REPLACE(INDEX(GroupVertices[Group],MATCH(Edges25[[#This Row],[Vertex 1]],GroupVertices[Vertex],0)),1,1,"")</f>
        <v>23</v>
      </c>
      <c r="BE45" s="79" t="str">
        <f>REPLACE(INDEX(GroupVertices[Group],MATCH(Edges25[[#This Row],[Vertex 2]],GroupVertices[Vertex],0)),1,1,"")</f>
        <v>23</v>
      </c>
      <c r="BF45" s="49">
        <v>1</v>
      </c>
      <c r="BG45" s="50">
        <v>1.9230769230769231</v>
      </c>
      <c r="BH45" s="49">
        <v>1</v>
      </c>
      <c r="BI45" s="50">
        <v>1.9230769230769231</v>
      </c>
      <c r="BJ45" s="49">
        <v>0</v>
      </c>
      <c r="BK45" s="50">
        <v>0</v>
      </c>
      <c r="BL45" s="49">
        <v>50</v>
      </c>
      <c r="BM45" s="50">
        <v>96.15384615384616</v>
      </c>
      <c r="BN45" s="49">
        <v>52</v>
      </c>
    </row>
    <row r="46" spans="1:66" ht="15">
      <c r="A46" s="65" t="s">
        <v>274</v>
      </c>
      <c r="B46" s="65" t="s">
        <v>314</v>
      </c>
      <c r="C46" s="66"/>
      <c r="D46" s="67"/>
      <c r="E46" s="66"/>
      <c r="F46" s="69"/>
      <c r="G46" s="66"/>
      <c r="H46" s="70"/>
      <c r="I46" s="71"/>
      <c r="J46" s="71"/>
      <c r="K46" s="35" t="s">
        <v>65</v>
      </c>
      <c r="L46" s="72">
        <v>80</v>
      </c>
      <c r="M46" s="72"/>
      <c r="N46" s="73"/>
      <c r="O46" s="80" t="s">
        <v>408</v>
      </c>
      <c r="P46" s="82">
        <v>44476.902349537035</v>
      </c>
      <c r="Q46" s="80" t="s">
        <v>433</v>
      </c>
      <c r="R46" s="85" t="str">
        <f>HYPERLINK("https://plantbasednews.org/news/australian-company-create-cell-based-meat-from-exotic-animals/")</f>
        <v>https://plantbasednews.org/news/australian-company-create-cell-based-meat-from-exotic-animals/</v>
      </c>
      <c r="S46" s="80" t="s">
        <v>529</v>
      </c>
      <c r="T46" s="80"/>
      <c r="U46" s="80"/>
      <c r="V46" s="85" t="str">
        <f>HYPERLINK("https://pbs.twimg.com/profile_images/1375562084545486848/ToDfVwF6_normal.jpg")</f>
        <v>https://pbs.twimg.com/profile_images/1375562084545486848/ToDfVwF6_normal.jpg</v>
      </c>
      <c r="W46" s="82">
        <v>44476.902349537035</v>
      </c>
      <c r="X46" s="87">
        <v>44476</v>
      </c>
      <c r="Y46" s="83" t="s">
        <v>610</v>
      </c>
      <c r="Z46" s="85" t="str">
        <f>HYPERLINK("https://twitter.com/ozzyconda/status/1446228688152891393")</f>
        <v>https://twitter.com/ozzyconda/status/1446228688152891393</v>
      </c>
      <c r="AA46" s="80"/>
      <c r="AB46" s="80"/>
      <c r="AC46" s="83" t="s">
        <v>793</v>
      </c>
      <c r="AD46" s="80"/>
      <c r="AE46" s="80" t="b">
        <v>0</v>
      </c>
      <c r="AF46" s="80">
        <v>0</v>
      </c>
      <c r="AG46" s="83" t="s">
        <v>952</v>
      </c>
      <c r="AH46" s="80" t="b">
        <v>0</v>
      </c>
      <c r="AI46" s="80" t="s">
        <v>967</v>
      </c>
      <c r="AJ46" s="80"/>
      <c r="AK46" s="83" t="s">
        <v>952</v>
      </c>
      <c r="AL46" s="80" t="b">
        <v>0</v>
      </c>
      <c r="AM46" s="80">
        <v>4</v>
      </c>
      <c r="AN46" s="83" t="s">
        <v>838</v>
      </c>
      <c r="AO46" s="83" t="s">
        <v>972</v>
      </c>
      <c r="AP46" s="80" t="b">
        <v>0</v>
      </c>
      <c r="AQ46" s="83" t="s">
        <v>838</v>
      </c>
      <c r="AR46" s="80" t="s">
        <v>196</v>
      </c>
      <c r="AS46" s="80">
        <v>0</v>
      </c>
      <c r="AT46" s="80">
        <v>0</v>
      </c>
      <c r="AU46" s="80"/>
      <c r="AV46" s="80"/>
      <c r="AW46" s="80"/>
      <c r="AX46" s="80"/>
      <c r="AY46" s="80"/>
      <c r="AZ46" s="80"/>
      <c r="BA46" s="80"/>
      <c r="BB46" s="80"/>
      <c r="BC46">
        <v>1</v>
      </c>
      <c r="BD46" s="79" t="str">
        <f>REPLACE(INDEX(GroupVertices[Group],MATCH(Edges25[[#This Row],[Vertex 1]],GroupVertices[Vertex],0)),1,1,"")</f>
        <v>14</v>
      </c>
      <c r="BE46" s="79" t="str">
        <f>REPLACE(INDEX(GroupVertices[Group],MATCH(Edges25[[#This Row],[Vertex 2]],GroupVertices[Vertex],0)),1,1,"")</f>
        <v>14</v>
      </c>
      <c r="BF46" s="49">
        <v>1</v>
      </c>
      <c r="BG46" s="50">
        <v>7.142857142857143</v>
      </c>
      <c r="BH46" s="49">
        <v>0</v>
      </c>
      <c r="BI46" s="50">
        <v>0</v>
      </c>
      <c r="BJ46" s="49">
        <v>0</v>
      </c>
      <c r="BK46" s="50">
        <v>0</v>
      </c>
      <c r="BL46" s="49">
        <v>13</v>
      </c>
      <c r="BM46" s="50">
        <v>92.85714285714286</v>
      </c>
      <c r="BN46" s="49">
        <v>14</v>
      </c>
    </row>
    <row r="47" spans="1:66" ht="15">
      <c r="A47" s="65" t="s">
        <v>275</v>
      </c>
      <c r="B47" s="65" t="s">
        <v>275</v>
      </c>
      <c r="C47" s="66"/>
      <c r="D47" s="67"/>
      <c r="E47" s="66"/>
      <c r="F47" s="69"/>
      <c r="G47" s="66"/>
      <c r="H47" s="70"/>
      <c r="I47" s="71"/>
      <c r="J47" s="71"/>
      <c r="K47" s="35" t="s">
        <v>65</v>
      </c>
      <c r="L47" s="72">
        <v>81</v>
      </c>
      <c r="M47" s="72"/>
      <c r="N47" s="73"/>
      <c r="O47" s="80" t="s">
        <v>196</v>
      </c>
      <c r="P47" s="82">
        <v>44476.99025462963</v>
      </c>
      <c r="Q47" s="80" t="s">
        <v>437</v>
      </c>
      <c r="R47" s="85" t="str">
        <f>HYPERLINK("https://newrepublic.com/article/163857/lab-meat-marketing-gmo-foods?utm_source=newsletter&amp;utm_medium=email&amp;utm_campaign=tnr_daily")</f>
        <v>https://newrepublic.com/article/163857/lab-meat-marketing-gmo-foods?utm_source=newsletter&amp;utm_medium=email&amp;utm_campaign=tnr_daily</v>
      </c>
      <c r="S47" s="80" t="s">
        <v>527</v>
      </c>
      <c r="T47" s="80"/>
      <c r="U47" s="80"/>
      <c r="V47" s="85" t="str">
        <f>HYPERLINK("https://pbs.twimg.com/profile_images/691704504539037696/Ul7qHJX5_normal.png")</f>
        <v>https://pbs.twimg.com/profile_images/691704504539037696/Ul7qHJX5_normal.png</v>
      </c>
      <c r="W47" s="82">
        <v>44476.99025462963</v>
      </c>
      <c r="X47" s="87">
        <v>44476</v>
      </c>
      <c r="Y47" s="83" t="s">
        <v>611</v>
      </c>
      <c r="Z47" s="85" t="str">
        <f>HYPERLINK("https://twitter.com/vectorresearch/status/1446260541715013636")</f>
        <v>https://twitter.com/vectorresearch/status/1446260541715013636</v>
      </c>
      <c r="AA47" s="80"/>
      <c r="AB47" s="80"/>
      <c r="AC47" s="83" t="s">
        <v>794</v>
      </c>
      <c r="AD47" s="80"/>
      <c r="AE47" s="80" t="b">
        <v>0</v>
      </c>
      <c r="AF47" s="80">
        <v>1</v>
      </c>
      <c r="AG47" s="83" t="s">
        <v>952</v>
      </c>
      <c r="AH47" s="80" t="b">
        <v>0</v>
      </c>
      <c r="AI47" s="80" t="s">
        <v>967</v>
      </c>
      <c r="AJ47" s="80"/>
      <c r="AK47" s="83" t="s">
        <v>952</v>
      </c>
      <c r="AL47" s="80" t="b">
        <v>0</v>
      </c>
      <c r="AM47" s="80">
        <v>0</v>
      </c>
      <c r="AN47" s="83" t="s">
        <v>952</v>
      </c>
      <c r="AO47" s="83" t="s">
        <v>974</v>
      </c>
      <c r="AP47" s="80" t="b">
        <v>0</v>
      </c>
      <c r="AQ47" s="83" t="s">
        <v>794</v>
      </c>
      <c r="AR47" s="80" t="s">
        <v>196</v>
      </c>
      <c r="AS47" s="80">
        <v>0</v>
      </c>
      <c r="AT47" s="80">
        <v>0</v>
      </c>
      <c r="AU47" s="80"/>
      <c r="AV47" s="80"/>
      <c r="AW47" s="80"/>
      <c r="AX47" s="80"/>
      <c r="AY47" s="80"/>
      <c r="AZ47" s="80"/>
      <c r="BA47" s="80"/>
      <c r="BB47" s="80"/>
      <c r="BC47">
        <v>1</v>
      </c>
      <c r="BD47" s="79" t="str">
        <f>REPLACE(INDEX(GroupVertices[Group],MATCH(Edges25[[#This Row],[Vertex 1]],GroupVertices[Vertex],0)),1,1,"")</f>
        <v>2</v>
      </c>
      <c r="BE47" s="79" t="str">
        <f>REPLACE(INDEX(GroupVertices[Group],MATCH(Edges25[[#This Row],[Vertex 2]],GroupVertices[Vertex],0)),1,1,"")</f>
        <v>2</v>
      </c>
      <c r="BF47" s="49">
        <v>1</v>
      </c>
      <c r="BG47" s="50">
        <v>7.142857142857143</v>
      </c>
      <c r="BH47" s="49">
        <v>0</v>
      </c>
      <c r="BI47" s="50">
        <v>0</v>
      </c>
      <c r="BJ47" s="49">
        <v>0</v>
      </c>
      <c r="BK47" s="50">
        <v>0</v>
      </c>
      <c r="BL47" s="49">
        <v>13</v>
      </c>
      <c r="BM47" s="50">
        <v>92.85714285714286</v>
      </c>
      <c r="BN47" s="49">
        <v>14</v>
      </c>
    </row>
    <row r="48" spans="1:66" ht="15">
      <c r="A48" s="65" t="s">
        <v>276</v>
      </c>
      <c r="B48" s="65" t="s">
        <v>380</v>
      </c>
      <c r="C48" s="66"/>
      <c r="D48" s="67"/>
      <c r="E48" s="66"/>
      <c r="F48" s="69"/>
      <c r="G48" s="66"/>
      <c r="H48" s="70"/>
      <c r="I48" s="71"/>
      <c r="J48" s="71"/>
      <c r="K48" s="35" t="s">
        <v>65</v>
      </c>
      <c r="L48" s="72">
        <v>82</v>
      </c>
      <c r="M48" s="72"/>
      <c r="N48" s="73"/>
      <c r="O48" s="80" t="s">
        <v>407</v>
      </c>
      <c r="P48" s="82">
        <v>44477.05537037037</v>
      </c>
      <c r="Q48" s="80" t="s">
        <v>438</v>
      </c>
      <c r="R48" s="80"/>
      <c r="S48" s="80"/>
      <c r="T48" s="83" t="s">
        <v>553</v>
      </c>
      <c r="U48" s="85" t="str">
        <f>HYPERLINK("https://pbs.twimg.com/media/FBI7gPFVQAMNirk.jpg")</f>
        <v>https://pbs.twimg.com/media/FBI7gPFVQAMNirk.jpg</v>
      </c>
      <c r="V48" s="85" t="str">
        <f>HYPERLINK("https://pbs.twimg.com/media/FBI7gPFVQAMNirk.jpg")</f>
        <v>https://pbs.twimg.com/media/FBI7gPFVQAMNirk.jpg</v>
      </c>
      <c r="W48" s="82">
        <v>44477.05537037037</v>
      </c>
      <c r="X48" s="87">
        <v>44477</v>
      </c>
      <c r="Y48" s="83" t="s">
        <v>612</v>
      </c>
      <c r="Z48" s="85" t="str">
        <f>HYPERLINK("https://twitter.com/lizmarsfilm/status/1446284139884257280")</f>
        <v>https://twitter.com/lizmarsfilm/status/1446284139884257280</v>
      </c>
      <c r="AA48" s="80"/>
      <c r="AB48" s="80"/>
      <c r="AC48" s="83" t="s">
        <v>795</v>
      </c>
      <c r="AD48" s="80"/>
      <c r="AE48" s="80" t="b">
        <v>0</v>
      </c>
      <c r="AF48" s="80">
        <v>0</v>
      </c>
      <c r="AG48" s="83" t="s">
        <v>952</v>
      </c>
      <c r="AH48" s="80" t="b">
        <v>0</v>
      </c>
      <c r="AI48" s="80" t="s">
        <v>967</v>
      </c>
      <c r="AJ48" s="80"/>
      <c r="AK48" s="83" t="s">
        <v>952</v>
      </c>
      <c r="AL48" s="80" t="b">
        <v>0</v>
      </c>
      <c r="AM48" s="80">
        <v>3</v>
      </c>
      <c r="AN48" s="83" t="s">
        <v>914</v>
      </c>
      <c r="AO48" s="83" t="s">
        <v>976</v>
      </c>
      <c r="AP48" s="80" t="b">
        <v>0</v>
      </c>
      <c r="AQ48" s="83" t="s">
        <v>914</v>
      </c>
      <c r="AR48" s="80" t="s">
        <v>196</v>
      </c>
      <c r="AS48" s="80">
        <v>0</v>
      </c>
      <c r="AT48" s="80">
        <v>0</v>
      </c>
      <c r="AU48" s="80"/>
      <c r="AV48" s="80"/>
      <c r="AW48" s="80"/>
      <c r="AX48" s="80"/>
      <c r="AY48" s="80"/>
      <c r="AZ48" s="80"/>
      <c r="BA48" s="80"/>
      <c r="BB48" s="80"/>
      <c r="BC48">
        <v>1</v>
      </c>
      <c r="BD48" s="79" t="str">
        <f>REPLACE(INDEX(GroupVertices[Group],MATCH(Edges25[[#This Row],[Vertex 1]],GroupVertices[Vertex],0)),1,1,"")</f>
        <v>3</v>
      </c>
      <c r="BE48" s="79" t="str">
        <f>REPLACE(INDEX(GroupVertices[Group],MATCH(Edges25[[#This Row],[Vertex 2]],GroupVertices[Vertex],0)),1,1,"")</f>
        <v>3</v>
      </c>
      <c r="BF48" s="49"/>
      <c r="BG48" s="50"/>
      <c r="BH48" s="49"/>
      <c r="BI48" s="50"/>
      <c r="BJ48" s="49"/>
      <c r="BK48" s="50"/>
      <c r="BL48" s="49"/>
      <c r="BM48" s="50"/>
      <c r="BN48" s="49"/>
    </row>
    <row r="49" spans="1:66" ht="15">
      <c r="A49" s="65" t="s">
        <v>277</v>
      </c>
      <c r="B49" s="65" t="s">
        <v>277</v>
      </c>
      <c r="C49" s="66"/>
      <c r="D49" s="67"/>
      <c r="E49" s="66"/>
      <c r="F49" s="69"/>
      <c r="G49" s="66"/>
      <c r="H49" s="70"/>
      <c r="I49" s="71"/>
      <c r="J49" s="71"/>
      <c r="K49" s="35" t="s">
        <v>65</v>
      </c>
      <c r="L49" s="72">
        <v>85</v>
      </c>
      <c r="M49" s="72"/>
      <c r="N49" s="73"/>
      <c r="O49" s="80" t="s">
        <v>196</v>
      </c>
      <c r="P49" s="82">
        <v>44477.167708333334</v>
      </c>
      <c r="Q49" s="80" t="s">
        <v>439</v>
      </c>
      <c r="R49" s="85" t="str">
        <f>HYPERLINK("https://www.fooddive.com/news/75-of-cell-based-meat-companies-prefer-the-term-cultivated-for-their-pro/607500/")</f>
        <v>https://www.fooddive.com/news/75-of-cell-based-meat-companies-prefer-the-term-cultivated-for-their-pro/607500/</v>
      </c>
      <c r="S49" s="80" t="s">
        <v>514</v>
      </c>
      <c r="T49" s="80"/>
      <c r="U49" s="80"/>
      <c r="V49" s="85" t="str">
        <f>HYPERLINK("https://pbs.twimg.com/profile_images/1401004206392180740/HImihjlV_normal.jpg")</f>
        <v>https://pbs.twimg.com/profile_images/1401004206392180740/HImihjlV_normal.jpg</v>
      </c>
      <c r="W49" s="82">
        <v>44477.167708333334</v>
      </c>
      <c r="X49" s="87">
        <v>44477</v>
      </c>
      <c r="Y49" s="83" t="s">
        <v>613</v>
      </c>
      <c r="Z49" s="85" t="str">
        <f>HYPERLINK("https://twitter.com/toshichimura/status/1446324849043918852")</f>
        <v>https://twitter.com/toshichimura/status/1446324849043918852</v>
      </c>
      <c r="AA49" s="80"/>
      <c r="AB49" s="80"/>
      <c r="AC49" s="83" t="s">
        <v>796</v>
      </c>
      <c r="AD49" s="80"/>
      <c r="AE49" s="80" t="b">
        <v>0</v>
      </c>
      <c r="AF49" s="80">
        <v>1</v>
      </c>
      <c r="AG49" s="83" t="s">
        <v>952</v>
      </c>
      <c r="AH49" s="80" t="b">
        <v>0</v>
      </c>
      <c r="AI49" s="80" t="s">
        <v>970</v>
      </c>
      <c r="AJ49" s="80"/>
      <c r="AK49" s="83" t="s">
        <v>952</v>
      </c>
      <c r="AL49" s="80" t="b">
        <v>0</v>
      </c>
      <c r="AM49" s="80">
        <v>0</v>
      </c>
      <c r="AN49" s="83" t="s">
        <v>952</v>
      </c>
      <c r="AO49" s="83" t="s">
        <v>976</v>
      </c>
      <c r="AP49" s="80" t="b">
        <v>0</v>
      </c>
      <c r="AQ49" s="83" t="s">
        <v>796</v>
      </c>
      <c r="AR49" s="80" t="s">
        <v>196</v>
      </c>
      <c r="AS49" s="80">
        <v>0</v>
      </c>
      <c r="AT49" s="80">
        <v>0</v>
      </c>
      <c r="AU49" s="80"/>
      <c r="AV49" s="80"/>
      <c r="AW49" s="80"/>
      <c r="AX49" s="80"/>
      <c r="AY49" s="80"/>
      <c r="AZ49" s="80"/>
      <c r="BA49" s="80"/>
      <c r="BB49" s="80"/>
      <c r="BC49">
        <v>1</v>
      </c>
      <c r="BD49" s="79" t="str">
        <f>REPLACE(INDEX(GroupVertices[Group],MATCH(Edges25[[#This Row],[Vertex 1]],GroupVertices[Vertex],0)),1,1,"")</f>
        <v>2</v>
      </c>
      <c r="BE49" s="79" t="str">
        <f>REPLACE(INDEX(GroupVertices[Group],MATCH(Edges25[[#This Row],[Vertex 2]],GroupVertices[Vertex],0)),1,1,"")</f>
        <v>2</v>
      </c>
      <c r="BF49" s="49">
        <v>0</v>
      </c>
      <c r="BG49" s="50">
        <v>0</v>
      </c>
      <c r="BH49" s="49">
        <v>0</v>
      </c>
      <c r="BI49" s="50">
        <v>0</v>
      </c>
      <c r="BJ49" s="49">
        <v>0</v>
      </c>
      <c r="BK49" s="50">
        <v>0</v>
      </c>
      <c r="BL49" s="49">
        <v>7</v>
      </c>
      <c r="BM49" s="50">
        <v>100</v>
      </c>
      <c r="BN49" s="49">
        <v>7</v>
      </c>
    </row>
    <row r="50" spans="1:66" ht="15">
      <c r="A50" s="65" t="s">
        <v>278</v>
      </c>
      <c r="B50" s="65" t="s">
        <v>278</v>
      </c>
      <c r="C50" s="66"/>
      <c r="D50" s="67"/>
      <c r="E50" s="66"/>
      <c r="F50" s="69"/>
      <c r="G50" s="66"/>
      <c r="H50" s="70"/>
      <c r="I50" s="71"/>
      <c r="J50" s="71"/>
      <c r="K50" s="35" t="s">
        <v>65</v>
      </c>
      <c r="L50" s="72">
        <v>86</v>
      </c>
      <c r="M50" s="72"/>
      <c r="N50" s="73"/>
      <c r="O50" s="80" t="s">
        <v>196</v>
      </c>
      <c r="P50" s="82">
        <v>44477.560636574075</v>
      </c>
      <c r="Q50" s="80" t="s">
        <v>440</v>
      </c>
      <c r="R50" s="80"/>
      <c r="S50" s="80"/>
      <c r="T50" s="80"/>
      <c r="U50" s="80"/>
      <c r="V50" s="85" t="str">
        <f>HYPERLINK("https://pbs.twimg.com/profile_images/1443976422989733899/L7-zgxUA_normal.jpg")</f>
        <v>https://pbs.twimg.com/profile_images/1443976422989733899/L7-zgxUA_normal.jpg</v>
      </c>
      <c r="W50" s="82">
        <v>44477.560636574075</v>
      </c>
      <c r="X50" s="87">
        <v>44477</v>
      </c>
      <c r="Y50" s="83" t="s">
        <v>614</v>
      </c>
      <c r="Z50" s="85" t="str">
        <f>HYPERLINK("https://twitter.com/audreyeseybold/status/1446467243576004632")</f>
        <v>https://twitter.com/audreyeseybold/status/1446467243576004632</v>
      </c>
      <c r="AA50" s="80"/>
      <c r="AB50" s="80"/>
      <c r="AC50" s="83" t="s">
        <v>797</v>
      </c>
      <c r="AD50" s="80"/>
      <c r="AE50" s="80" t="b">
        <v>0</v>
      </c>
      <c r="AF50" s="80">
        <v>2</v>
      </c>
      <c r="AG50" s="83" t="s">
        <v>952</v>
      </c>
      <c r="AH50" s="80" t="b">
        <v>0</v>
      </c>
      <c r="AI50" s="80" t="s">
        <v>967</v>
      </c>
      <c r="AJ50" s="80"/>
      <c r="AK50" s="83" t="s">
        <v>952</v>
      </c>
      <c r="AL50" s="80" t="b">
        <v>0</v>
      </c>
      <c r="AM50" s="80">
        <v>0</v>
      </c>
      <c r="AN50" s="83" t="s">
        <v>952</v>
      </c>
      <c r="AO50" s="83" t="s">
        <v>976</v>
      </c>
      <c r="AP50" s="80" t="b">
        <v>0</v>
      </c>
      <c r="AQ50" s="83" t="s">
        <v>797</v>
      </c>
      <c r="AR50" s="80" t="s">
        <v>196</v>
      </c>
      <c r="AS50" s="80">
        <v>0</v>
      </c>
      <c r="AT50" s="80">
        <v>0</v>
      </c>
      <c r="AU50" s="80"/>
      <c r="AV50" s="80"/>
      <c r="AW50" s="80"/>
      <c r="AX50" s="80"/>
      <c r="AY50" s="80"/>
      <c r="AZ50" s="80"/>
      <c r="BA50" s="80"/>
      <c r="BB50" s="80"/>
      <c r="BC50">
        <v>1</v>
      </c>
      <c r="BD50" s="79" t="str">
        <f>REPLACE(INDEX(GroupVertices[Group],MATCH(Edges25[[#This Row],[Vertex 1]],GroupVertices[Vertex],0)),1,1,"")</f>
        <v>22</v>
      </c>
      <c r="BE50" s="79" t="str">
        <f>REPLACE(INDEX(GroupVertices[Group],MATCH(Edges25[[#This Row],[Vertex 2]],GroupVertices[Vertex],0)),1,1,"")</f>
        <v>22</v>
      </c>
      <c r="BF50" s="49">
        <v>0</v>
      </c>
      <c r="BG50" s="50">
        <v>0</v>
      </c>
      <c r="BH50" s="49">
        <v>0</v>
      </c>
      <c r="BI50" s="50">
        <v>0</v>
      </c>
      <c r="BJ50" s="49">
        <v>0</v>
      </c>
      <c r="BK50" s="50">
        <v>0</v>
      </c>
      <c r="BL50" s="49">
        <v>8</v>
      </c>
      <c r="BM50" s="50">
        <v>100</v>
      </c>
      <c r="BN50" s="49">
        <v>8</v>
      </c>
    </row>
    <row r="51" spans="1:66" ht="15">
      <c r="A51" s="65" t="s">
        <v>279</v>
      </c>
      <c r="B51" s="65" t="s">
        <v>278</v>
      </c>
      <c r="C51" s="66"/>
      <c r="D51" s="67"/>
      <c r="E51" s="66"/>
      <c r="F51" s="69"/>
      <c r="G51" s="66"/>
      <c r="H51" s="70"/>
      <c r="I51" s="71"/>
      <c r="J51" s="71"/>
      <c r="K51" s="35" t="s">
        <v>65</v>
      </c>
      <c r="L51" s="72">
        <v>87</v>
      </c>
      <c r="M51" s="72"/>
      <c r="N51" s="73"/>
      <c r="O51" s="80" t="s">
        <v>409</v>
      </c>
      <c r="P51" s="82">
        <v>44477.565613425926</v>
      </c>
      <c r="Q51" s="80" t="s">
        <v>441</v>
      </c>
      <c r="R51" s="80"/>
      <c r="S51" s="80"/>
      <c r="T51" s="80"/>
      <c r="U51" s="80"/>
      <c r="V51" s="85" t="str">
        <f>HYPERLINK("https://pbs.twimg.com/profile_images/1134386459723608065/k4oaCqnW_normal.jpg")</f>
        <v>https://pbs.twimg.com/profile_images/1134386459723608065/k4oaCqnW_normal.jpg</v>
      </c>
      <c r="W51" s="82">
        <v>44477.565613425926</v>
      </c>
      <c r="X51" s="87">
        <v>44477</v>
      </c>
      <c r="Y51" s="83" t="s">
        <v>615</v>
      </c>
      <c r="Z51" s="85" t="str">
        <f>HYPERLINK("https://twitter.com/jantjieskyle/status/1446469046157840403")</f>
        <v>https://twitter.com/jantjieskyle/status/1446469046157840403</v>
      </c>
      <c r="AA51" s="80"/>
      <c r="AB51" s="80"/>
      <c r="AC51" s="83" t="s">
        <v>798</v>
      </c>
      <c r="AD51" s="83" t="s">
        <v>797</v>
      </c>
      <c r="AE51" s="80" t="b">
        <v>0</v>
      </c>
      <c r="AF51" s="80">
        <v>0</v>
      </c>
      <c r="AG51" s="83" t="s">
        <v>956</v>
      </c>
      <c r="AH51" s="80" t="b">
        <v>0</v>
      </c>
      <c r="AI51" s="80" t="s">
        <v>967</v>
      </c>
      <c r="AJ51" s="80"/>
      <c r="AK51" s="83" t="s">
        <v>952</v>
      </c>
      <c r="AL51" s="80" t="b">
        <v>0</v>
      </c>
      <c r="AM51" s="80">
        <v>0</v>
      </c>
      <c r="AN51" s="83" t="s">
        <v>952</v>
      </c>
      <c r="AO51" s="83" t="s">
        <v>979</v>
      </c>
      <c r="AP51" s="80" t="b">
        <v>0</v>
      </c>
      <c r="AQ51" s="83" t="s">
        <v>797</v>
      </c>
      <c r="AR51" s="80" t="s">
        <v>196</v>
      </c>
      <c r="AS51" s="80">
        <v>0</v>
      </c>
      <c r="AT51" s="80">
        <v>0</v>
      </c>
      <c r="AU51" s="80"/>
      <c r="AV51" s="80"/>
      <c r="AW51" s="80"/>
      <c r="AX51" s="80"/>
      <c r="AY51" s="80"/>
      <c r="AZ51" s="80"/>
      <c r="BA51" s="80"/>
      <c r="BB51" s="80"/>
      <c r="BC51">
        <v>1</v>
      </c>
      <c r="BD51" s="79" t="str">
        <f>REPLACE(INDEX(GroupVertices[Group],MATCH(Edges25[[#This Row],[Vertex 1]],GroupVertices[Vertex],0)),1,1,"")</f>
        <v>22</v>
      </c>
      <c r="BE51" s="79" t="str">
        <f>REPLACE(INDEX(GroupVertices[Group],MATCH(Edges25[[#This Row],[Vertex 2]],GroupVertices[Vertex],0)),1,1,"")</f>
        <v>22</v>
      </c>
      <c r="BF51" s="49">
        <v>0</v>
      </c>
      <c r="BG51" s="50">
        <v>0</v>
      </c>
      <c r="BH51" s="49">
        <v>0</v>
      </c>
      <c r="BI51" s="50">
        <v>0</v>
      </c>
      <c r="BJ51" s="49">
        <v>0</v>
      </c>
      <c r="BK51" s="50">
        <v>0</v>
      </c>
      <c r="BL51" s="49">
        <v>9</v>
      </c>
      <c r="BM51" s="50">
        <v>100</v>
      </c>
      <c r="BN51" s="49">
        <v>9</v>
      </c>
    </row>
    <row r="52" spans="1:66" ht="15">
      <c r="A52" s="65" t="s">
        <v>280</v>
      </c>
      <c r="B52" s="65" t="s">
        <v>382</v>
      </c>
      <c r="C52" s="66"/>
      <c r="D52" s="67"/>
      <c r="E52" s="66"/>
      <c r="F52" s="69"/>
      <c r="G52" s="66"/>
      <c r="H52" s="70"/>
      <c r="I52" s="71"/>
      <c r="J52" s="71"/>
      <c r="K52" s="35" t="s">
        <v>65</v>
      </c>
      <c r="L52" s="72">
        <v>88</v>
      </c>
      <c r="M52" s="72"/>
      <c r="N52" s="73"/>
      <c r="O52" s="80" t="s">
        <v>409</v>
      </c>
      <c r="P52" s="82">
        <v>44477.593680555554</v>
      </c>
      <c r="Q52" s="80" t="s">
        <v>442</v>
      </c>
      <c r="R52" s="80"/>
      <c r="S52" s="80"/>
      <c r="T52" s="80"/>
      <c r="U52" s="80"/>
      <c r="V52" s="85" t="str">
        <f>HYPERLINK("https://pbs.twimg.com/profile_images/1441367829312245766/Q9z4NC_n_normal.jpg")</f>
        <v>https://pbs.twimg.com/profile_images/1441367829312245766/Q9z4NC_n_normal.jpg</v>
      </c>
      <c r="W52" s="82">
        <v>44477.593680555554</v>
      </c>
      <c r="X52" s="87">
        <v>44477</v>
      </c>
      <c r="Y52" s="83" t="s">
        <v>616</v>
      </c>
      <c r="Z52" s="85" t="str">
        <f>HYPERLINK("https://twitter.com/avf_scooby2000/status/1446479216069992451")</f>
        <v>https://twitter.com/avf_scooby2000/status/1446479216069992451</v>
      </c>
      <c r="AA52" s="80"/>
      <c r="AB52" s="80"/>
      <c r="AC52" s="83" t="s">
        <v>799</v>
      </c>
      <c r="AD52" s="83" t="s">
        <v>941</v>
      </c>
      <c r="AE52" s="80" t="b">
        <v>0</v>
      </c>
      <c r="AF52" s="80">
        <v>0</v>
      </c>
      <c r="AG52" s="83" t="s">
        <v>957</v>
      </c>
      <c r="AH52" s="80" t="b">
        <v>0</v>
      </c>
      <c r="AI52" s="80" t="s">
        <v>967</v>
      </c>
      <c r="AJ52" s="80"/>
      <c r="AK52" s="83" t="s">
        <v>952</v>
      </c>
      <c r="AL52" s="80" t="b">
        <v>0</v>
      </c>
      <c r="AM52" s="80">
        <v>0</v>
      </c>
      <c r="AN52" s="83" t="s">
        <v>952</v>
      </c>
      <c r="AO52" s="83" t="s">
        <v>979</v>
      </c>
      <c r="AP52" s="80" t="b">
        <v>0</v>
      </c>
      <c r="AQ52" s="83" t="s">
        <v>941</v>
      </c>
      <c r="AR52" s="80" t="s">
        <v>196</v>
      </c>
      <c r="AS52" s="80">
        <v>0</v>
      </c>
      <c r="AT52" s="80">
        <v>0</v>
      </c>
      <c r="AU52" s="80"/>
      <c r="AV52" s="80"/>
      <c r="AW52" s="80"/>
      <c r="AX52" s="80"/>
      <c r="AY52" s="80"/>
      <c r="AZ52" s="80"/>
      <c r="BA52" s="80"/>
      <c r="BB52" s="80"/>
      <c r="BC52">
        <v>1</v>
      </c>
      <c r="BD52" s="79" t="str">
        <f>REPLACE(INDEX(GroupVertices[Group],MATCH(Edges25[[#This Row],[Vertex 1]],GroupVertices[Vertex],0)),1,1,"")</f>
        <v>21</v>
      </c>
      <c r="BE52" s="79" t="str">
        <f>REPLACE(INDEX(GroupVertices[Group],MATCH(Edges25[[#This Row],[Vertex 2]],GroupVertices[Vertex],0)),1,1,"")</f>
        <v>21</v>
      </c>
      <c r="BF52" s="49">
        <v>1</v>
      </c>
      <c r="BG52" s="50">
        <v>3.8461538461538463</v>
      </c>
      <c r="BH52" s="49">
        <v>0</v>
      </c>
      <c r="BI52" s="50">
        <v>0</v>
      </c>
      <c r="BJ52" s="49">
        <v>0</v>
      </c>
      <c r="BK52" s="50">
        <v>0</v>
      </c>
      <c r="BL52" s="49">
        <v>25</v>
      </c>
      <c r="BM52" s="50">
        <v>96.15384615384616</v>
      </c>
      <c r="BN52" s="49">
        <v>26</v>
      </c>
    </row>
    <row r="53" spans="1:66" ht="15">
      <c r="A53" s="65" t="s">
        <v>281</v>
      </c>
      <c r="B53" s="65" t="s">
        <v>281</v>
      </c>
      <c r="C53" s="66"/>
      <c r="D53" s="67"/>
      <c r="E53" s="66"/>
      <c r="F53" s="69"/>
      <c r="G53" s="66"/>
      <c r="H53" s="70"/>
      <c r="I53" s="71"/>
      <c r="J53" s="71"/>
      <c r="K53" s="35" t="s">
        <v>65</v>
      </c>
      <c r="L53" s="72">
        <v>89</v>
      </c>
      <c r="M53" s="72"/>
      <c r="N53" s="73"/>
      <c r="O53" s="80" t="s">
        <v>196</v>
      </c>
      <c r="P53" s="82">
        <v>44477.56270833333</v>
      </c>
      <c r="Q53" s="80" t="s">
        <v>443</v>
      </c>
      <c r="R53" s="85" t="str">
        <f>HYPERLINK("https://www.fooddive.com/news/75-of-cell-based-meat-companies-prefer-the-term-cultivated-for-their-pro/607500/")</f>
        <v>https://www.fooddive.com/news/75-of-cell-based-meat-companies-prefer-the-term-cultivated-for-their-pro/607500/</v>
      </c>
      <c r="S53" s="80" t="s">
        <v>514</v>
      </c>
      <c r="T53" s="83" t="s">
        <v>554</v>
      </c>
      <c r="U53" s="80"/>
      <c r="V53" s="85" t="str">
        <f>HYPERLINK("https://pbs.twimg.com/profile_images/943566393122873344/4dyGWW3x_normal.jpg")</f>
        <v>https://pbs.twimg.com/profile_images/943566393122873344/4dyGWW3x_normal.jpg</v>
      </c>
      <c r="W53" s="82">
        <v>44477.56270833333</v>
      </c>
      <c r="X53" s="87">
        <v>44477</v>
      </c>
      <c r="Y53" s="83" t="s">
        <v>617</v>
      </c>
      <c r="Z53" s="85" t="str">
        <f>HYPERLINK("https://twitter.com/culinarycultur1/status/1446467992993271849")</f>
        <v>https://twitter.com/culinarycultur1/status/1446467992993271849</v>
      </c>
      <c r="AA53" s="80"/>
      <c r="AB53" s="80"/>
      <c r="AC53" s="83" t="s">
        <v>800</v>
      </c>
      <c r="AD53" s="80"/>
      <c r="AE53" s="80" t="b">
        <v>0</v>
      </c>
      <c r="AF53" s="80">
        <v>2</v>
      </c>
      <c r="AG53" s="83" t="s">
        <v>952</v>
      </c>
      <c r="AH53" s="80" t="b">
        <v>0</v>
      </c>
      <c r="AI53" s="80" t="s">
        <v>967</v>
      </c>
      <c r="AJ53" s="80"/>
      <c r="AK53" s="83" t="s">
        <v>952</v>
      </c>
      <c r="AL53" s="80" t="b">
        <v>0</v>
      </c>
      <c r="AM53" s="80">
        <v>1</v>
      </c>
      <c r="AN53" s="83" t="s">
        <v>952</v>
      </c>
      <c r="AO53" s="83" t="s">
        <v>981</v>
      </c>
      <c r="AP53" s="80" t="b">
        <v>0</v>
      </c>
      <c r="AQ53" s="83" t="s">
        <v>800</v>
      </c>
      <c r="AR53" s="80" t="s">
        <v>196</v>
      </c>
      <c r="AS53" s="80">
        <v>0</v>
      </c>
      <c r="AT53" s="80">
        <v>0</v>
      </c>
      <c r="AU53" s="80"/>
      <c r="AV53" s="80"/>
      <c r="AW53" s="80"/>
      <c r="AX53" s="80"/>
      <c r="AY53" s="80"/>
      <c r="AZ53" s="80"/>
      <c r="BA53" s="80"/>
      <c r="BB53" s="80"/>
      <c r="BC53">
        <v>1</v>
      </c>
      <c r="BD53" s="79" t="str">
        <f>REPLACE(INDEX(GroupVertices[Group],MATCH(Edges25[[#This Row],[Vertex 1]],GroupVertices[Vertex],0)),1,1,"")</f>
        <v>20</v>
      </c>
      <c r="BE53" s="79" t="str">
        <f>REPLACE(INDEX(GroupVertices[Group],MATCH(Edges25[[#This Row],[Vertex 2]],GroupVertices[Vertex],0)),1,1,"")</f>
        <v>20</v>
      </c>
      <c r="BF53" s="49">
        <v>1</v>
      </c>
      <c r="BG53" s="50">
        <v>3.8461538461538463</v>
      </c>
      <c r="BH53" s="49">
        <v>0</v>
      </c>
      <c r="BI53" s="50">
        <v>0</v>
      </c>
      <c r="BJ53" s="49">
        <v>0</v>
      </c>
      <c r="BK53" s="50">
        <v>0</v>
      </c>
      <c r="BL53" s="49">
        <v>25</v>
      </c>
      <c r="BM53" s="50">
        <v>96.15384615384616</v>
      </c>
      <c r="BN53" s="49">
        <v>26</v>
      </c>
    </row>
    <row r="54" spans="1:66" ht="15">
      <c r="A54" s="65" t="s">
        <v>282</v>
      </c>
      <c r="B54" s="65" t="s">
        <v>281</v>
      </c>
      <c r="C54" s="66"/>
      <c r="D54" s="67"/>
      <c r="E54" s="66"/>
      <c r="F54" s="69"/>
      <c r="G54" s="66"/>
      <c r="H54" s="70"/>
      <c r="I54" s="71"/>
      <c r="J54" s="71"/>
      <c r="K54" s="35" t="s">
        <v>65</v>
      </c>
      <c r="L54" s="72">
        <v>90</v>
      </c>
      <c r="M54" s="72"/>
      <c r="N54" s="73"/>
      <c r="O54" s="80" t="s">
        <v>408</v>
      </c>
      <c r="P54" s="82">
        <v>44477.69766203704</v>
      </c>
      <c r="Q54" s="80" t="s">
        <v>443</v>
      </c>
      <c r="R54" s="85" t="str">
        <f>HYPERLINK("https://www.fooddive.com/news/75-of-cell-based-meat-companies-prefer-the-term-cultivated-for-their-pro/607500/")</f>
        <v>https://www.fooddive.com/news/75-of-cell-based-meat-companies-prefer-the-term-cultivated-for-their-pro/607500/</v>
      </c>
      <c r="S54" s="80" t="s">
        <v>514</v>
      </c>
      <c r="T54" s="83" t="s">
        <v>554</v>
      </c>
      <c r="U54" s="80"/>
      <c r="V54" s="85" t="str">
        <f>HYPERLINK("https://pbs.twimg.com/profile_images/1415732051316150272/4wJ4cGoY_normal.jpg")</f>
        <v>https://pbs.twimg.com/profile_images/1415732051316150272/4wJ4cGoY_normal.jpg</v>
      </c>
      <c r="W54" s="82">
        <v>44477.69766203704</v>
      </c>
      <c r="X54" s="87">
        <v>44477</v>
      </c>
      <c r="Y54" s="83" t="s">
        <v>618</v>
      </c>
      <c r="Z54" s="85" t="str">
        <f>HYPERLINK("https://twitter.com/sial_america/status/1446516897764319259")</f>
        <v>https://twitter.com/sial_america/status/1446516897764319259</v>
      </c>
      <c r="AA54" s="80"/>
      <c r="AB54" s="80"/>
      <c r="AC54" s="83" t="s">
        <v>801</v>
      </c>
      <c r="AD54" s="80"/>
      <c r="AE54" s="80" t="b">
        <v>0</v>
      </c>
      <c r="AF54" s="80">
        <v>0</v>
      </c>
      <c r="AG54" s="83" t="s">
        <v>952</v>
      </c>
      <c r="AH54" s="80" t="b">
        <v>0</v>
      </c>
      <c r="AI54" s="80" t="s">
        <v>967</v>
      </c>
      <c r="AJ54" s="80"/>
      <c r="AK54" s="83" t="s">
        <v>952</v>
      </c>
      <c r="AL54" s="80" t="b">
        <v>0</v>
      </c>
      <c r="AM54" s="80">
        <v>1</v>
      </c>
      <c r="AN54" s="83" t="s">
        <v>800</v>
      </c>
      <c r="AO54" s="83" t="s">
        <v>972</v>
      </c>
      <c r="AP54" s="80" t="b">
        <v>0</v>
      </c>
      <c r="AQ54" s="83" t="s">
        <v>800</v>
      </c>
      <c r="AR54" s="80" t="s">
        <v>196</v>
      </c>
      <c r="AS54" s="80">
        <v>0</v>
      </c>
      <c r="AT54" s="80">
        <v>0</v>
      </c>
      <c r="AU54" s="80"/>
      <c r="AV54" s="80"/>
      <c r="AW54" s="80"/>
      <c r="AX54" s="80"/>
      <c r="AY54" s="80"/>
      <c r="AZ54" s="80"/>
      <c r="BA54" s="80"/>
      <c r="BB54" s="80"/>
      <c r="BC54">
        <v>1</v>
      </c>
      <c r="BD54" s="79" t="str">
        <f>REPLACE(INDEX(GroupVertices[Group],MATCH(Edges25[[#This Row],[Vertex 1]],GroupVertices[Vertex],0)),1,1,"")</f>
        <v>20</v>
      </c>
      <c r="BE54" s="79" t="str">
        <f>REPLACE(INDEX(GroupVertices[Group],MATCH(Edges25[[#This Row],[Vertex 2]],GroupVertices[Vertex],0)),1,1,"")</f>
        <v>20</v>
      </c>
      <c r="BF54" s="49">
        <v>1</v>
      </c>
      <c r="BG54" s="50">
        <v>3.8461538461538463</v>
      </c>
      <c r="BH54" s="49">
        <v>0</v>
      </c>
      <c r="BI54" s="50">
        <v>0</v>
      </c>
      <c r="BJ54" s="49">
        <v>0</v>
      </c>
      <c r="BK54" s="50">
        <v>0</v>
      </c>
      <c r="BL54" s="49">
        <v>25</v>
      </c>
      <c r="BM54" s="50">
        <v>96.15384615384616</v>
      </c>
      <c r="BN54" s="49">
        <v>26</v>
      </c>
    </row>
    <row r="55" spans="1:66" ht="15">
      <c r="A55" s="65" t="s">
        <v>283</v>
      </c>
      <c r="B55" s="65" t="s">
        <v>380</v>
      </c>
      <c r="C55" s="66"/>
      <c r="D55" s="67"/>
      <c r="E55" s="66"/>
      <c r="F55" s="69"/>
      <c r="G55" s="66"/>
      <c r="H55" s="70"/>
      <c r="I55" s="71"/>
      <c r="J55" s="71"/>
      <c r="K55" s="35" t="s">
        <v>65</v>
      </c>
      <c r="L55" s="72">
        <v>91</v>
      </c>
      <c r="M55" s="72"/>
      <c r="N55" s="73"/>
      <c r="O55" s="80" t="s">
        <v>407</v>
      </c>
      <c r="P55" s="82">
        <v>44477.76896990741</v>
      </c>
      <c r="Q55" s="80" t="s">
        <v>438</v>
      </c>
      <c r="R55" s="80"/>
      <c r="S55" s="80"/>
      <c r="T55" s="83" t="s">
        <v>553</v>
      </c>
      <c r="U55" s="85" t="str">
        <f>HYPERLINK("https://pbs.twimg.com/media/FBI7gPFVQAMNirk.jpg")</f>
        <v>https://pbs.twimg.com/media/FBI7gPFVQAMNirk.jpg</v>
      </c>
      <c r="V55" s="85" t="str">
        <f>HYPERLINK("https://pbs.twimg.com/media/FBI7gPFVQAMNirk.jpg")</f>
        <v>https://pbs.twimg.com/media/FBI7gPFVQAMNirk.jpg</v>
      </c>
      <c r="W55" s="82">
        <v>44477.76896990741</v>
      </c>
      <c r="X55" s="87">
        <v>44477</v>
      </c>
      <c r="Y55" s="83" t="s">
        <v>619</v>
      </c>
      <c r="Z55" s="85" t="str">
        <f>HYPERLINK("https://twitter.com/ra_mc/status/1446542740456681475")</f>
        <v>https://twitter.com/ra_mc/status/1446542740456681475</v>
      </c>
      <c r="AA55" s="80"/>
      <c r="AB55" s="80"/>
      <c r="AC55" s="83" t="s">
        <v>802</v>
      </c>
      <c r="AD55" s="80"/>
      <c r="AE55" s="80" t="b">
        <v>0</v>
      </c>
      <c r="AF55" s="80">
        <v>0</v>
      </c>
      <c r="AG55" s="83" t="s">
        <v>952</v>
      </c>
      <c r="AH55" s="80" t="b">
        <v>0</v>
      </c>
      <c r="AI55" s="80" t="s">
        <v>967</v>
      </c>
      <c r="AJ55" s="80"/>
      <c r="AK55" s="83" t="s">
        <v>952</v>
      </c>
      <c r="AL55" s="80" t="b">
        <v>0</v>
      </c>
      <c r="AM55" s="80">
        <v>3</v>
      </c>
      <c r="AN55" s="83" t="s">
        <v>914</v>
      </c>
      <c r="AO55" s="83" t="s">
        <v>982</v>
      </c>
      <c r="AP55" s="80" t="b">
        <v>0</v>
      </c>
      <c r="AQ55" s="83" t="s">
        <v>914</v>
      </c>
      <c r="AR55" s="80" t="s">
        <v>196</v>
      </c>
      <c r="AS55" s="80">
        <v>0</v>
      </c>
      <c r="AT55" s="80">
        <v>0</v>
      </c>
      <c r="AU55" s="80"/>
      <c r="AV55" s="80"/>
      <c r="AW55" s="80"/>
      <c r="AX55" s="80"/>
      <c r="AY55" s="80"/>
      <c r="AZ55" s="80"/>
      <c r="BA55" s="80"/>
      <c r="BB55" s="80"/>
      <c r="BC55">
        <v>1</v>
      </c>
      <c r="BD55" s="79" t="str">
        <f>REPLACE(INDEX(GroupVertices[Group],MATCH(Edges25[[#This Row],[Vertex 1]],GroupVertices[Vertex],0)),1,1,"")</f>
        <v>3</v>
      </c>
      <c r="BE55" s="79" t="str">
        <f>REPLACE(INDEX(GroupVertices[Group],MATCH(Edges25[[#This Row],[Vertex 2]],GroupVertices[Vertex],0)),1,1,"")</f>
        <v>3</v>
      </c>
      <c r="BF55" s="49"/>
      <c r="BG55" s="50"/>
      <c r="BH55" s="49"/>
      <c r="BI55" s="50"/>
      <c r="BJ55" s="49"/>
      <c r="BK55" s="50"/>
      <c r="BL55" s="49"/>
      <c r="BM55" s="50"/>
      <c r="BN55" s="49"/>
    </row>
    <row r="56" spans="1:66" ht="15">
      <c r="A56" s="65" t="s">
        <v>284</v>
      </c>
      <c r="B56" s="65" t="s">
        <v>284</v>
      </c>
      <c r="C56" s="66"/>
      <c r="D56" s="67"/>
      <c r="E56" s="66"/>
      <c r="F56" s="69"/>
      <c r="G56" s="66"/>
      <c r="H56" s="70"/>
      <c r="I56" s="71"/>
      <c r="J56" s="71"/>
      <c r="K56" s="35" t="s">
        <v>65</v>
      </c>
      <c r="L56" s="72">
        <v>94</v>
      </c>
      <c r="M56" s="72"/>
      <c r="N56" s="73"/>
      <c r="O56" s="80" t="s">
        <v>196</v>
      </c>
      <c r="P56" s="82">
        <v>44477.807800925926</v>
      </c>
      <c r="Q56" s="80" t="s">
        <v>444</v>
      </c>
      <c r="R56" s="85" t="str">
        <f>HYPERLINK("https://vegnews.com/2021/10/ashton-kutcher-cell-based-meat")</f>
        <v>https://vegnews.com/2021/10/ashton-kutcher-cell-based-meat</v>
      </c>
      <c r="S56" s="80" t="s">
        <v>532</v>
      </c>
      <c r="T56" s="83" t="s">
        <v>555</v>
      </c>
      <c r="U56" s="80"/>
      <c r="V56" s="85" t="str">
        <f>HYPERLINK("https://pbs.twimg.com/profile_images/602921690318786560/FVC_WcM4_normal.png")</f>
        <v>https://pbs.twimg.com/profile_images/602921690318786560/FVC_WcM4_normal.png</v>
      </c>
      <c r="W56" s="82">
        <v>44477.807800925926</v>
      </c>
      <c r="X56" s="87">
        <v>44477</v>
      </c>
      <c r="Y56" s="83" t="s">
        <v>620</v>
      </c>
      <c r="Z56" s="85" t="str">
        <f>HYPERLINK("https://twitter.com/3dprintmaven/status/1446556810693992448")</f>
        <v>https://twitter.com/3dprintmaven/status/1446556810693992448</v>
      </c>
      <c r="AA56" s="80"/>
      <c r="AB56" s="80"/>
      <c r="AC56" s="83" t="s">
        <v>803</v>
      </c>
      <c r="AD56" s="80"/>
      <c r="AE56" s="80" t="b">
        <v>0</v>
      </c>
      <c r="AF56" s="80">
        <v>1</v>
      </c>
      <c r="AG56" s="83" t="s">
        <v>952</v>
      </c>
      <c r="AH56" s="80" t="b">
        <v>0</v>
      </c>
      <c r="AI56" s="80" t="s">
        <v>967</v>
      </c>
      <c r="AJ56" s="80"/>
      <c r="AK56" s="83" t="s">
        <v>952</v>
      </c>
      <c r="AL56" s="80" t="b">
        <v>0</v>
      </c>
      <c r="AM56" s="80">
        <v>0</v>
      </c>
      <c r="AN56" s="83" t="s">
        <v>952</v>
      </c>
      <c r="AO56" s="83" t="s">
        <v>983</v>
      </c>
      <c r="AP56" s="80" t="b">
        <v>0</v>
      </c>
      <c r="AQ56" s="83" t="s">
        <v>803</v>
      </c>
      <c r="AR56" s="80" t="s">
        <v>196</v>
      </c>
      <c r="AS56" s="80">
        <v>0</v>
      </c>
      <c r="AT56" s="80">
        <v>0</v>
      </c>
      <c r="AU56" s="80"/>
      <c r="AV56" s="80"/>
      <c r="AW56" s="80"/>
      <c r="AX56" s="80"/>
      <c r="AY56" s="80"/>
      <c r="AZ56" s="80"/>
      <c r="BA56" s="80"/>
      <c r="BB56" s="80"/>
      <c r="BC56">
        <v>1</v>
      </c>
      <c r="BD56" s="79" t="str">
        <f>REPLACE(INDEX(GroupVertices[Group],MATCH(Edges25[[#This Row],[Vertex 1]],GroupVertices[Vertex],0)),1,1,"")</f>
        <v>2</v>
      </c>
      <c r="BE56" s="79" t="str">
        <f>REPLACE(INDEX(GroupVertices[Group],MATCH(Edges25[[#This Row],[Vertex 2]],GroupVertices[Vertex],0)),1,1,"")</f>
        <v>2</v>
      </c>
      <c r="BF56" s="49">
        <v>0</v>
      </c>
      <c r="BG56" s="50">
        <v>0</v>
      </c>
      <c r="BH56" s="49">
        <v>0</v>
      </c>
      <c r="BI56" s="50">
        <v>0</v>
      </c>
      <c r="BJ56" s="49">
        <v>0</v>
      </c>
      <c r="BK56" s="50">
        <v>0</v>
      </c>
      <c r="BL56" s="49">
        <v>12</v>
      </c>
      <c r="BM56" s="50">
        <v>100</v>
      </c>
      <c r="BN56" s="49">
        <v>12</v>
      </c>
    </row>
    <row r="57" spans="1:66" ht="15">
      <c r="A57" s="65" t="s">
        <v>285</v>
      </c>
      <c r="B57" s="65" t="s">
        <v>285</v>
      </c>
      <c r="C57" s="66"/>
      <c r="D57" s="67"/>
      <c r="E57" s="66"/>
      <c r="F57" s="69"/>
      <c r="G57" s="66"/>
      <c r="H57" s="70"/>
      <c r="I57" s="71"/>
      <c r="J57" s="71"/>
      <c r="K57" s="35" t="s">
        <v>65</v>
      </c>
      <c r="L57" s="72">
        <v>95</v>
      </c>
      <c r="M57" s="72"/>
      <c r="N57" s="73"/>
      <c r="O57" s="80" t="s">
        <v>196</v>
      </c>
      <c r="P57" s="82">
        <v>44477.81037037037</v>
      </c>
      <c r="Q57" s="80" t="s">
        <v>445</v>
      </c>
      <c r="R57" s="85" t="str">
        <f>HYPERLINK("https://vegnews.com/2021/10/ashton-kutcher-cell-based-meat")</f>
        <v>https://vegnews.com/2021/10/ashton-kutcher-cell-based-meat</v>
      </c>
      <c r="S57" s="80" t="s">
        <v>532</v>
      </c>
      <c r="T57" s="80"/>
      <c r="U57" s="85" t="str">
        <f>HYPERLINK("https://pbs.twimg.com/media/FBM0mlKXEC0uDzh.jpg")</f>
        <v>https://pbs.twimg.com/media/FBM0mlKXEC0uDzh.jpg</v>
      </c>
      <c r="V57" s="85" t="str">
        <f>HYPERLINK("https://pbs.twimg.com/media/FBM0mlKXEC0uDzh.jpg")</f>
        <v>https://pbs.twimg.com/media/FBM0mlKXEC0uDzh.jpg</v>
      </c>
      <c r="W57" s="82">
        <v>44477.81037037037</v>
      </c>
      <c r="X57" s="87">
        <v>44477</v>
      </c>
      <c r="Y57" s="83" t="s">
        <v>621</v>
      </c>
      <c r="Z57" s="85" t="str">
        <f>HYPERLINK("https://twitter.com/mslisawilliams/status/1446557744249593858")</f>
        <v>https://twitter.com/mslisawilliams/status/1446557744249593858</v>
      </c>
      <c r="AA57" s="80"/>
      <c r="AB57" s="80"/>
      <c r="AC57" s="83" t="s">
        <v>804</v>
      </c>
      <c r="AD57" s="80"/>
      <c r="AE57" s="80" t="b">
        <v>0</v>
      </c>
      <c r="AF57" s="80">
        <v>0</v>
      </c>
      <c r="AG57" s="83" t="s">
        <v>952</v>
      </c>
      <c r="AH57" s="80" t="b">
        <v>0</v>
      </c>
      <c r="AI57" s="80" t="s">
        <v>967</v>
      </c>
      <c r="AJ57" s="80"/>
      <c r="AK57" s="83" t="s">
        <v>952</v>
      </c>
      <c r="AL57" s="80" t="b">
        <v>0</v>
      </c>
      <c r="AM57" s="80">
        <v>0</v>
      </c>
      <c r="AN57" s="83" t="s">
        <v>952</v>
      </c>
      <c r="AO57" s="83" t="s">
        <v>984</v>
      </c>
      <c r="AP57" s="80" t="b">
        <v>0</v>
      </c>
      <c r="AQ57" s="83" t="s">
        <v>804</v>
      </c>
      <c r="AR57" s="80" t="s">
        <v>196</v>
      </c>
      <c r="AS57" s="80">
        <v>0</v>
      </c>
      <c r="AT57" s="80">
        <v>0</v>
      </c>
      <c r="AU57" s="80"/>
      <c r="AV57" s="80"/>
      <c r="AW57" s="80"/>
      <c r="AX57" s="80"/>
      <c r="AY57" s="80"/>
      <c r="AZ57" s="80"/>
      <c r="BA57" s="80"/>
      <c r="BB57" s="80"/>
      <c r="BC57">
        <v>1</v>
      </c>
      <c r="BD57" s="79" t="str">
        <f>REPLACE(INDEX(GroupVertices[Group],MATCH(Edges25[[#This Row],[Vertex 1]],GroupVertices[Vertex],0)),1,1,"")</f>
        <v>2</v>
      </c>
      <c r="BE57" s="79" t="str">
        <f>REPLACE(INDEX(GroupVertices[Group],MATCH(Edges25[[#This Row],[Vertex 2]],GroupVertices[Vertex],0)),1,1,"")</f>
        <v>2</v>
      </c>
      <c r="BF57" s="49">
        <v>0</v>
      </c>
      <c r="BG57" s="50">
        <v>0</v>
      </c>
      <c r="BH57" s="49">
        <v>0</v>
      </c>
      <c r="BI57" s="50">
        <v>0</v>
      </c>
      <c r="BJ57" s="49">
        <v>0</v>
      </c>
      <c r="BK57" s="50">
        <v>0</v>
      </c>
      <c r="BL57" s="49">
        <v>11</v>
      </c>
      <c r="BM57" s="50">
        <v>100</v>
      </c>
      <c r="BN57" s="49">
        <v>11</v>
      </c>
    </row>
    <row r="58" spans="1:66" ht="15">
      <c r="A58" s="65" t="s">
        <v>286</v>
      </c>
      <c r="B58" s="65" t="s">
        <v>383</v>
      </c>
      <c r="C58" s="66"/>
      <c r="D58" s="67"/>
      <c r="E58" s="66"/>
      <c r="F58" s="69"/>
      <c r="G58" s="66"/>
      <c r="H58" s="70"/>
      <c r="I58" s="71"/>
      <c r="J58" s="71"/>
      <c r="K58" s="35" t="s">
        <v>65</v>
      </c>
      <c r="L58" s="72">
        <v>96</v>
      </c>
      <c r="M58" s="72"/>
      <c r="N58" s="73"/>
      <c r="O58" s="80" t="s">
        <v>406</v>
      </c>
      <c r="P58" s="82">
        <v>44477.81983796296</v>
      </c>
      <c r="Q58" s="80" t="s">
        <v>446</v>
      </c>
      <c r="R58" s="85" t="str">
        <f>HYPERLINK("https://geneticliteracyproject.org/2021/10/08/should-lab-grown-beef-be-labeled-meat-usda-denies-cattle-lobby-petition-to-limit-definition-to-animal-sources/?utm_medium=Social&amp;utm_source=Twitter#Echobox=1633672368-1")</f>
        <v>https://geneticliteracyproject.org/2021/10/08/should-lab-grown-beef-be-labeled-meat-usda-denies-cattle-lobby-petition-to-limit-definition-to-animal-sources/?utm_medium=Social&amp;utm_source=Twitter#Echobox=1633672368-1</v>
      </c>
      <c r="S58" s="80" t="s">
        <v>533</v>
      </c>
      <c r="T58" s="83" t="s">
        <v>556</v>
      </c>
      <c r="U58" s="80"/>
      <c r="V58" s="85" t="str">
        <f>HYPERLINK("https://pbs.twimg.com/profile_images/1193985020521791488/nRCt_CqI_normal.jpg")</f>
        <v>https://pbs.twimg.com/profile_images/1193985020521791488/nRCt_CqI_normal.jpg</v>
      </c>
      <c r="W58" s="82">
        <v>44477.81983796296</v>
      </c>
      <c r="X58" s="87">
        <v>44477</v>
      </c>
      <c r="Y58" s="83" t="s">
        <v>622</v>
      </c>
      <c r="Z58" s="85" t="str">
        <f>HYPERLINK("https://twitter.com/geneticliteracy/status/1446561173500006411")</f>
        <v>https://twitter.com/geneticliteracy/status/1446561173500006411</v>
      </c>
      <c r="AA58" s="80"/>
      <c r="AB58" s="80"/>
      <c r="AC58" s="83" t="s">
        <v>805</v>
      </c>
      <c r="AD58" s="80"/>
      <c r="AE58" s="80" t="b">
        <v>0</v>
      </c>
      <c r="AF58" s="80">
        <v>0</v>
      </c>
      <c r="AG58" s="83" t="s">
        <v>952</v>
      </c>
      <c r="AH58" s="80" t="b">
        <v>0</v>
      </c>
      <c r="AI58" s="80" t="s">
        <v>967</v>
      </c>
      <c r="AJ58" s="80"/>
      <c r="AK58" s="83" t="s">
        <v>952</v>
      </c>
      <c r="AL58" s="80" t="b">
        <v>0</v>
      </c>
      <c r="AM58" s="80">
        <v>0</v>
      </c>
      <c r="AN58" s="83" t="s">
        <v>952</v>
      </c>
      <c r="AO58" s="83" t="s">
        <v>985</v>
      </c>
      <c r="AP58" s="80" t="b">
        <v>0</v>
      </c>
      <c r="AQ58" s="83" t="s">
        <v>805</v>
      </c>
      <c r="AR58" s="80" t="s">
        <v>196</v>
      </c>
      <c r="AS58" s="80">
        <v>0</v>
      </c>
      <c r="AT58" s="80">
        <v>0</v>
      </c>
      <c r="AU58" s="80"/>
      <c r="AV58" s="80"/>
      <c r="AW58" s="80"/>
      <c r="AX58" s="80"/>
      <c r="AY58" s="80"/>
      <c r="AZ58" s="80"/>
      <c r="BA58" s="80"/>
      <c r="BB58" s="80"/>
      <c r="BC58">
        <v>1</v>
      </c>
      <c r="BD58" s="79" t="str">
        <f>REPLACE(INDEX(GroupVertices[Group],MATCH(Edges25[[#This Row],[Vertex 1]],GroupVertices[Vertex],0)),1,1,"")</f>
        <v>19</v>
      </c>
      <c r="BE58" s="79" t="str">
        <f>REPLACE(INDEX(GroupVertices[Group],MATCH(Edges25[[#This Row],[Vertex 2]],GroupVertices[Vertex],0)),1,1,"")</f>
        <v>19</v>
      </c>
      <c r="BF58" s="49">
        <v>0</v>
      </c>
      <c r="BG58" s="50">
        <v>0</v>
      </c>
      <c r="BH58" s="49">
        <v>0</v>
      </c>
      <c r="BI58" s="50">
        <v>0</v>
      </c>
      <c r="BJ58" s="49">
        <v>0</v>
      </c>
      <c r="BK58" s="50">
        <v>0</v>
      </c>
      <c r="BL58" s="49">
        <v>10</v>
      </c>
      <c r="BM58" s="50">
        <v>100</v>
      </c>
      <c r="BN58" s="49">
        <v>10</v>
      </c>
    </row>
    <row r="59" spans="1:66" ht="15">
      <c r="A59" s="65" t="s">
        <v>287</v>
      </c>
      <c r="B59" s="65" t="s">
        <v>288</v>
      </c>
      <c r="C59" s="66"/>
      <c r="D59" s="67"/>
      <c r="E59" s="66"/>
      <c r="F59" s="69"/>
      <c r="G59" s="66"/>
      <c r="H59" s="70"/>
      <c r="I59" s="71"/>
      <c r="J59" s="71"/>
      <c r="K59" s="35" t="s">
        <v>65</v>
      </c>
      <c r="L59" s="72">
        <v>97</v>
      </c>
      <c r="M59" s="72"/>
      <c r="N59" s="73"/>
      <c r="O59" s="80" t="s">
        <v>408</v>
      </c>
      <c r="P59" s="82">
        <v>44477.825740740744</v>
      </c>
      <c r="Q59" s="80" t="s">
        <v>447</v>
      </c>
      <c r="R59" s="85" t="str">
        <f>HYPERLINK("https://vegnews.com/2021/10/ashton-kutcher-cell-based-meat?utm_source=dlvr.it&amp;utm_medium=twitter")</f>
        <v>https://vegnews.com/2021/10/ashton-kutcher-cell-based-meat?utm_source=dlvr.it&amp;utm_medium=twitter</v>
      </c>
      <c r="S59" s="80" t="s">
        <v>532</v>
      </c>
      <c r="T59" s="80"/>
      <c r="U59" s="85" t="str">
        <f>HYPERLINK("https://pbs.twimg.com/media/FBM5b_gVkAAnFsx.jpg")</f>
        <v>https://pbs.twimg.com/media/FBM5b_gVkAAnFsx.jpg</v>
      </c>
      <c r="V59" s="85" t="str">
        <f>HYPERLINK("https://pbs.twimg.com/media/FBM5b_gVkAAnFsx.jpg")</f>
        <v>https://pbs.twimg.com/media/FBM5b_gVkAAnFsx.jpg</v>
      </c>
      <c r="W59" s="82">
        <v>44477.825740740744</v>
      </c>
      <c r="X59" s="87">
        <v>44477</v>
      </c>
      <c r="Y59" s="83" t="s">
        <v>623</v>
      </c>
      <c r="Z59" s="85" t="str">
        <f>HYPERLINK("https://twitter.com/vsnnj/status/1446563315379933185")</f>
        <v>https://twitter.com/vsnnj/status/1446563315379933185</v>
      </c>
      <c r="AA59" s="80"/>
      <c r="AB59" s="80"/>
      <c r="AC59" s="83" t="s">
        <v>806</v>
      </c>
      <c r="AD59" s="80"/>
      <c r="AE59" s="80" t="b">
        <v>0</v>
      </c>
      <c r="AF59" s="80">
        <v>0</v>
      </c>
      <c r="AG59" s="83" t="s">
        <v>952</v>
      </c>
      <c r="AH59" s="80" t="b">
        <v>0</v>
      </c>
      <c r="AI59" s="80" t="s">
        <v>967</v>
      </c>
      <c r="AJ59" s="80"/>
      <c r="AK59" s="83" t="s">
        <v>952</v>
      </c>
      <c r="AL59" s="80" t="b">
        <v>0</v>
      </c>
      <c r="AM59" s="80">
        <v>2</v>
      </c>
      <c r="AN59" s="83" t="s">
        <v>807</v>
      </c>
      <c r="AO59" s="83" t="s">
        <v>986</v>
      </c>
      <c r="AP59" s="80" t="b">
        <v>0</v>
      </c>
      <c r="AQ59" s="83" t="s">
        <v>807</v>
      </c>
      <c r="AR59" s="80" t="s">
        <v>196</v>
      </c>
      <c r="AS59" s="80">
        <v>0</v>
      </c>
      <c r="AT59" s="80">
        <v>0</v>
      </c>
      <c r="AU59" s="80"/>
      <c r="AV59" s="80"/>
      <c r="AW59" s="80"/>
      <c r="AX59" s="80"/>
      <c r="AY59" s="80"/>
      <c r="AZ59" s="80"/>
      <c r="BA59" s="80"/>
      <c r="BB59" s="80"/>
      <c r="BC59">
        <v>1</v>
      </c>
      <c r="BD59" s="79" t="str">
        <f>REPLACE(INDEX(GroupVertices[Group],MATCH(Edges25[[#This Row],[Vertex 1]],GroupVertices[Vertex],0)),1,1,"")</f>
        <v>13</v>
      </c>
      <c r="BE59" s="79" t="str">
        <f>REPLACE(INDEX(GroupVertices[Group],MATCH(Edges25[[#This Row],[Vertex 2]],GroupVertices[Vertex],0)),1,1,"")</f>
        <v>13</v>
      </c>
      <c r="BF59" s="49">
        <v>0</v>
      </c>
      <c r="BG59" s="50">
        <v>0</v>
      </c>
      <c r="BH59" s="49">
        <v>0</v>
      </c>
      <c r="BI59" s="50">
        <v>0</v>
      </c>
      <c r="BJ59" s="49">
        <v>0</v>
      </c>
      <c r="BK59" s="50">
        <v>0</v>
      </c>
      <c r="BL59" s="49">
        <v>11</v>
      </c>
      <c r="BM59" s="50">
        <v>100</v>
      </c>
      <c r="BN59" s="49">
        <v>11</v>
      </c>
    </row>
    <row r="60" spans="1:66" ht="15">
      <c r="A60" s="65" t="s">
        <v>288</v>
      </c>
      <c r="B60" s="65" t="s">
        <v>288</v>
      </c>
      <c r="C60" s="66"/>
      <c r="D60" s="67"/>
      <c r="E60" s="66"/>
      <c r="F60" s="69"/>
      <c r="G60" s="66"/>
      <c r="H60" s="70"/>
      <c r="I60" s="71"/>
      <c r="J60" s="71"/>
      <c r="K60" s="35" t="s">
        <v>65</v>
      </c>
      <c r="L60" s="72">
        <v>98</v>
      </c>
      <c r="M60" s="72"/>
      <c r="N60" s="73"/>
      <c r="O60" s="80" t="s">
        <v>196</v>
      </c>
      <c r="P60" s="82">
        <v>44477.8250462963</v>
      </c>
      <c r="Q60" s="80" t="s">
        <v>447</v>
      </c>
      <c r="R60" s="85" t="str">
        <f>HYPERLINK("https://vegnews.com/2021/10/ashton-kutcher-cell-based-meat?utm_source=dlvr.it&amp;utm_medium=twitter")</f>
        <v>https://vegnews.com/2021/10/ashton-kutcher-cell-based-meat?utm_source=dlvr.it&amp;utm_medium=twitter</v>
      </c>
      <c r="S60" s="80" t="s">
        <v>532</v>
      </c>
      <c r="T60" s="80"/>
      <c r="U60" s="85" t="str">
        <f>HYPERLINK("https://pbs.twimg.com/media/FBM5b_gVkAAnFsx.jpg")</f>
        <v>https://pbs.twimg.com/media/FBM5b_gVkAAnFsx.jpg</v>
      </c>
      <c r="V60" s="85" t="str">
        <f>HYPERLINK("https://pbs.twimg.com/media/FBM5b_gVkAAnFsx.jpg")</f>
        <v>https://pbs.twimg.com/media/FBM5b_gVkAAnFsx.jpg</v>
      </c>
      <c r="W60" s="82">
        <v>44477.8250462963</v>
      </c>
      <c r="X60" s="87">
        <v>44477</v>
      </c>
      <c r="Y60" s="83" t="s">
        <v>624</v>
      </c>
      <c r="Z60" s="85" t="str">
        <f>HYPERLINK("https://twitter.com/verdantsquare/status/1446563060370395137")</f>
        <v>https://twitter.com/verdantsquare/status/1446563060370395137</v>
      </c>
      <c r="AA60" s="80"/>
      <c r="AB60" s="80"/>
      <c r="AC60" s="83" t="s">
        <v>807</v>
      </c>
      <c r="AD60" s="80"/>
      <c r="AE60" s="80" t="b">
        <v>0</v>
      </c>
      <c r="AF60" s="80">
        <v>0</v>
      </c>
      <c r="AG60" s="83" t="s">
        <v>952</v>
      </c>
      <c r="AH60" s="80" t="b">
        <v>0</v>
      </c>
      <c r="AI60" s="80" t="s">
        <v>967</v>
      </c>
      <c r="AJ60" s="80"/>
      <c r="AK60" s="83" t="s">
        <v>952</v>
      </c>
      <c r="AL60" s="80" t="b">
        <v>0</v>
      </c>
      <c r="AM60" s="80">
        <v>2</v>
      </c>
      <c r="AN60" s="83" t="s">
        <v>952</v>
      </c>
      <c r="AO60" s="83" t="s">
        <v>986</v>
      </c>
      <c r="AP60" s="80" t="b">
        <v>0</v>
      </c>
      <c r="AQ60" s="83" t="s">
        <v>807</v>
      </c>
      <c r="AR60" s="80" t="s">
        <v>196</v>
      </c>
      <c r="AS60" s="80">
        <v>0</v>
      </c>
      <c r="AT60" s="80">
        <v>0</v>
      </c>
      <c r="AU60" s="80"/>
      <c r="AV60" s="80"/>
      <c r="AW60" s="80"/>
      <c r="AX60" s="80"/>
      <c r="AY60" s="80"/>
      <c r="AZ60" s="80"/>
      <c r="BA60" s="80"/>
      <c r="BB60" s="80"/>
      <c r="BC60">
        <v>1</v>
      </c>
      <c r="BD60" s="79" t="str">
        <f>REPLACE(INDEX(GroupVertices[Group],MATCH(Edges25[[#This Row],[Vertex 1]],GroupVertices[Vertex],0)),1,1,"")</f>
        <v>13</v>
      </c>
      <c r="BE60" s="79" t="str">
        <f>REPLACE(INDEX(GroupVertices[Group],MATCH(Edges25[[#This Row],[Vertex 2]],GroupVertices[Vertex],0)),1,1,"")</f>
        <v>13</v>
      </c>
      <c r="BF60" s="49">
        <v>0</v>
      </c>
      <c r="BG60" s="50">
        <v>0</v>
      </c>
      <c r="BH60" s="49">
        <v>0</v>
      </c>
      <c r="BI60" s="50">
        <v>0</v>
      </c>
      <c r="BJ60" s="49">
        <v>0</v>
      </c>
      <c r="BK60" s="50">
        <v>0</v>
      </c>
      <c r="BL60" s="49">
        <v>11</v>
      </c>
      <c r="BM60" s="50">
        <v>100</v>
      </c>
      <c r="BN60" s="49">
        <v>11</v>
      </c>
    </row>
    <row r="61" spans="1:66" ht="15">
      <c r="A61" s="65" t="s">
        <v>289</v>
      </c>
      <c r="B61" s="65" t="s">
        <v>288</v>
      </c>
      <c r="C61" s="66"/>
      <c r="D61" s="67"/>
      <c r="E61" s="66"/>
      <c r="F61" s="69"/>
      <c r="G61" s="66"/>
      <c r="H61" s="70"/>
      <c r="I61" s="71"/>
      <c r="J61" s="71"/>
      <c r="K61" s="35" t="s">
        <v>65</v>
      </c>
      <c r="L61" s="72">
        <v>99</v>
      </c>
      <c r="M61" s="72"/>
      <c r="N61" s="73"/>
      <c r="O61" s="80" t="s">
        <v>408</v>
      </c>
      <c r="P61" s="82">
        <v>44477.82576388889</v>
      </c>
      <c r="Q61" s="80" t="s">
        <v>447</v>
      </c>
      <c r="R61" s="85" t="str">
        <f>HYPERLINK("https://vegnews.com/2021/10/ashton-kutcher-cell-based-meat?utm_source=dlvr.it&amp;utm_medium=twitter")</f>
        <v>https://vegnews.com/2021/10/ashton-kutcher-cell-based-meat?utm_source=dlvr.it&amp;utm_medium=twitter</v>
      </c>
      <c r="S61" s="80" t="s">
        <v>532</v>
      </c>
      <c r="T61" s="80"/>
      <c r="U61" s="85" t="str">
        <f>HYPERLINK("https://pbs.twimg.com/media/FBM5b_gVkAAnFsx.jpg")</f>
        <v>https://pbs.twimg.com/media/FBM5b_gVkAAnFsx.jpg</v>
      </c>
      <c r="V61" s="85" t="str">
        <f>HYPERLINK("https://pbs.twimg.com/media/FBM5b_gVkAAnFsx.jpg")</f>
        <v>https://pbs.twimg.com/media/FBM5b_gVkAAnFsx.jpg</v>
      </c>
      <c r="W61" s="82">
        <v>44477.82576388889</v>
      </c>
      <c r="X61" s="87">
        <v>44477</v>
      </c>
      <c r="Y61" s="83" t="s">
        <v>625</v>
      </c>
      <c r="Z61" s="85" t="str">
        <f>HYPERLINK("https://twitter.com/vsnpenn/status/1446563323768557570")</f>
        <v>https://twitter.com/vsnpenn/status/1446563323768557570</v>
      </c>
      <c r="AA61" s="80"/>
      <c r="AB61" s="80"/>
      <c r="AC61" s="83" t="s">
        <v>808</v>
      </c>
      <c r="AD61" s="80"/>
      <c r="AE61" s="80" t="b">
        <v>0</v>
      </c>
      <c r="AF61" s="80">
        <v>0</v>
      </c>
      <c r="AG61" s="83" t="s">
        <v>952</v>
      </c>
      <c r="AH61" s="80" t="b">
        <v>0</v>
      </c>
      <c r="AI61" s="80" t="s">
        <v>967</v>
      </c>
      <c r="AJ61" s="80"/>
      <c r="AK61" s="83" t="s">
        <v>952</v>
      </c>
      <c r="AL61" s="80" t="b">
        <v>0</v>
      </c>
      <c r="AM61" s="80">
        <v>2</v>
      </c>
      <c r="AN61" s="83" t="s">
        <v>807</v>
      </c>
      <c r="AO61" s="83" t="s">
        <v>986</v>
      </c>
      <c r="AP61" s="80" t="b">
        <v>0</v>
      </c>
      <c r="AQ61" s="83" t="s">
        <v>807</v>
      </c>
      <c r="AR61" s="80" t="s">
        <v>196</v>
      </c>
      <c r="AS61" s="80">
        <v>0</v>
      </c>
      <c r="AT61" s="80">
        <v>0</v>
      </c>
      <c r="AU61" s="80"/>
      <c r="AV61" s="80"/>
      <c r="AW61" s="80"/>
      <c r="AX61" s="80"/>
      <c r="AY61" s="80"/>
      <c r="AZ61" s="80"/>
      <c r="BA61" s="80"/>
      <c r="BB61" s="80"/>
      <c r="BC61">
        <v>1</v>
      </c>
      <c r="BD61" s="79" t="str">
        <f>REPLACE(INDEX(GroupVertices[Group],MATCH(Edges25[[#This Row],[Vertex 1]],GroupVertices[Vertex],0)),1,1,"")</f>
        <v>13</v>
      </c>
      <c r="BE61" s="79" t="str">
        <f>REPLACE(INDEX(GroupVertices[Group],MATCH(Edges25[[#This Row],[Vertex 2]],GroupVertices[Vertex],0)),1,1,"")</f>
        <v>13</v>
      </c>
      <c r="BF61" s="49">
        <v>0</v>
      </c>
      <c r="BG61" s="50">
        <v>0</v>
      </c>
      <c r="BH61" s="49">
        <v>0</v>
      </c>
      <c r="BI61" s="50">
        <v>0</v>
      </c>
      <c r="BJ61" s="49">
        <v>0</v>
      </c>
      <c r="BK61" s="50">
        <v>0</v>
      </c>
      <c r="BL61" s="49">
        <v>11</v>
      </c>
      <c r="BM61" s="50">
        <v>100</v>
      </c>
      <c r="BN61" s="49">
        <v>11</v>
      </c>
    </row>
    <row r="62" spans="1:66" ht="15">
      <c r="A62" s="65" t="s">
        <v>290</v>
      </c>
      <c r="B62" s="65" t="s">
        <v>290</v>
      </c>
      <c r="C62" s="66"/>
      <c r="D62" s="67"/>
      <c r="E62" s="66"/>
      <c r="F62" s="69"/>
      <c r="G62" s="66"/>
      <c r="H62" s="70"/>
      <c r="I62" s="71"/>
      <c r="J62" s="71"/>
      <c r="K62" s="35" t="s">
        <v>65</v>
      </c>
      <c r="L62" s="72">
        <v>100</v>
      </c>
      <c r="M62" s="72"/>
      <c r="N62" s="73"/>
      <c r="O62" s="80" t="s">
        <v>196</v>
      </c>
      <c r="P62" s="82">
        <v>44477.88753472222</v>
      </c>
      <c r="Q62" s="80" t="s">
        <v>448</v>
      </c>
      <c r="R62" s="85" t="str">
        <f>HYPERLINK("https://www.vegan-insight.com/ashton-kutcher-joins-cell-based-meat-company-to-develop-3d-bioprinting/")</f>
        <v>https://www.vegan-insight.com/ashton-kutcher-joins-cell-based-meat-company-to-develop-3d-bioprinting/</v>
      </c>
      <c r="S62" s="80" t="s">
        <v>534</v>
      </c>
      <c r="T62" s="80"/>
      <c r="U62" s="80"/>
      <c r="V62" s="85" t="str">
        <f>HYPERLINK("https://pbs.twimg.com/profile_images/926539314036596736/ax78FrbV_normal.jpg")</f>
        <v>https://pbs.twimg.com/profile_images/926539314036596736/ax78FrbV_normal.jpg</v>
      </c>
      <c r="W62" s="82">
        <v>44477.88753472222</v>
      </c>
      <c r="X62" s="87">
        <v>44477</v>
      </c>
      <c r="Y62" s="83" t="s">
        <v>626</v>
      </c>
      <c r="Z62" s="85" t="str">
        <f>HYPERLINK("https://twitter.com/veganinsight/status/1446585706902589444")</f>
        <v>https://twitter.com/veganinsight/status/1446585706902589444</v>
      </c>
      <c r="AA62" s="80"/>
      <c r="AB62" s="80"/>
      <c r="AC62" s="83" t="s">
        <v>809</v>
      </c>
      <c r="AD62" s="80"/>
      <c r="AE62" s="80" t="b">
        <v>0</v>
      </c>
      <c r="AF62" s="80">
        <v>0</v>
      </c>
      <c r="AG62" s="83" t="s">
        <v>952</v>
      </c>
      <c r="AH62" s="80" t="b">
        <v>0</v>
      </c>
      <c r="AI62" s="80" t="s">
        <v>967</v>
      </c>
      <c r="AJ62" s="80"/>
      <c r="AK62" s="83" t="s">
        <v>952</v>
      </c>
      <c r="AL62" s="80" t="b">
        <v>0</v>
      </c>
      <c r="AM62" s="80">
        <v>0</v>
      </c>
      <c r="AN62" s="83" t="s">
        <v>952</v>
      </c>
      <c r="AO62" s="83" t="s">
        <v>987</v>
      </c>
      <c r="AP62" s="80" t="b">
        <v>0</v>
      </c>
      <c r="AQ62" s="83" t="s">
        <v>809</v>
      </c>
      <c r="AR62" s="80" t="s">
        <v>196</v>
      </c>
      <c r="AS62" s="80">
        <v>0</v>
      </c>
      <c r="AT62" s="80">
        <v>0</v>
      </c>
      <c r="AU62" s="80"/>
      <c r="AV62" s="80"/>
      <c r="AW62" s="80"/>
      <c r="AX62" s="80"/>
      <c r="AY62" s="80"/>
      <c r="AZ62" s="80"/>
      <c r="BA62" s="80"/>
      <c r="BB62" s="80"/>
      <c r="BC62">
        <v>1</v>
      </c>
      <c r="BD62" s="79" t="str">
        <f>REPLACE(INDEX(GroupVertices[Group],MATCH(Edges25[[#This Row],[Vertex 1]],GroupVertices[Vertex],0)),1,1,"")</f>
        <v>2</v>
      </c>
      <c r="BE62" s="79" t="str">
        <f>REPLACE(INDEX(GroupVertices[Group],MATCH(Edges25[[#This Row],[Vertex 2]],GroupVertices[Vertex],0)),1,1,"")</f>
        <v>2</v>
      </c>
      <c r="BF62" s="49">
        <v>0</v>
      </c>
      <c r="BG62" s="50">
        <v>0</v>
      </c>
      <c r="BH62" s="49">
        <v>0</v>
      </c>
      <c r="BI62" s="50">
        <v>0</v>
      </c>
      <c r="BJ62" s="49">
        <v>0</v>
      </c>
      <c r="BK62" s="50">
        <v>0</v>
      </c>
      <c r="BL62" s="49">
        <v>11</v>
      </c>
      <c r="BM62" s="50">
        <v>100</v>
      </c>
      <c r="BN62" s="49">
        <v>11</v>
      </c>
    </row>
    <row r="63" spans="1:66" ht="15">
      <c r="A63" s="65" t="s">
        <v>291</v>
      </c>
      <c r="B63" s="65" t="s">
        <v>328</v>
      </c>
      <c r="C63" s="66"/>
      <c r="D63" s="67"/>
      <c r="E63" s="66"/>
      <c r="F63" s="69"/>
      <c r="G63" s="66"/>
      <c r="H63" s="70"/>
      <c r="I63" s="71"/>
      <c r="J63" s="71"/>
      <c r="K63" s="35" t="s">
        <v>65</v>
      </c>
      <c r="L63" s="72">
        <v>101</v>
      </c>
      <c r="M63" s="72"/>
      <c r="N63" s="73"/>
      <c r="O63" s="80" t="s">
        <v>408</v>
      </c>
      <c r="P63" s="82">
        <v>44478.00152777778</v>
      </c>
      <c r="Q63" s="80" t="s">
        <v>449</v>
      </c>
      <c r="R63" s="85" t="str">
        <f>HYPERLINK("https://www.greenqueen.com.hk/hong-kong-cell-based-meat-study/?ct=t%28OCT+8+2020+INDUSTRY+SCOOP_COPY_01%29")</f>
        <v>https://www.greenqueen.com.hk/hong-kong-cell-based-meat-study/?ct=t%28OCT+8+2020+INDUSTRY+SCOOP_COPY_01%29</v>
      </c>
      <c r="S63" s="80" t="s">
        <v>525</v>
      </c>
      <c r="T63" s="83" t="s">
        <v>557</v>
      </c>
      <c r="U63" s="85" t="str">
        <f>HYPERLINK("https://pbs.twimg.com/media/FBD5ahCUUAYHMaD.jpg")</f>
        <v>https://pbs.twimg.com/media/FBD5ahCUUAYHMaD.jpg</v>
      </c>
      <c r="V63" s="85" t="str">
        <f>HYPERLINK("https://pbs.twimg.com/media/FBD5ahCUUAYHMaD.jpg")</f>
        <v>https://pbs.twimg.com/media/FBD5ahCUUAYHMaD.jpg</v>
      </c>
      <c r="W63" s="82">
        <v>44478.00152777778</v>
      </c>
      <c r="X63" s="87">
        <v>44478</v>
      </c>
      <c r="Y63" s="83" t="s">
        <v>627</v>
      </c>
      <c r="Z63" s="85" t="str">
        <f>HYPERLINK("https://twitter.com/moongin2100/status/1446627014828564483")</f>
        <v>https://twitter.com/moongin2100/status/1446627014828564483</v>
      </c>
      <c r="AA63" s="80"/>
      <c r="AB63" s="80"/>
      <c r="AC63" s="83" t="s">
        <v>810</v>
      </c>
      <c r="AD63" s="80"/>
      <c r="AE63" s="80" t="b">
        <v>0</v>
      </c>
      <c r="AF63" s="80">
        <v>0</v>
      </c>
      <c r="AG63" s="83" t="s">
        <v>952</v>
      </c>
      <c r="AH63" s="80" t="b">
        <v>0</v>
      </c>
      <c r="AI63" s="80" t="s">
        <v>967</v>
      </c>
      <c r="AJ63" s="80"/>
      <c r="AK63" s="83" t="s">
        <v>952</v>
      </c>
      <c r="AL63" s="80" t="b">
        <v>0</v>
      </c>
      <c r="AM63" s="80">
        <v>3</v>
      </c>
      <c r="AN63" s="83" t="s">
        <v>860</v>
      </c>
      <c r="AO63" s="83" t="s">
        <v>972</v>
      </c>
      <c r="AP63" s="80" t="b">
        <v>0</v>
      </c>
      <c r="AQ63" s="83" t="s">
        <v>860</v>
      </c>
      <c r="AR63" s="80" t="s">
        <v>196</v>
      </c>
      <c r="AS63" s="80">
        <v>0</v>
      </c>
      <c r="AT63" s="80">
        <v>0</v>
      </c>
      <c r="AU63" s="80"/>
      <c r="AV63" s="80"/>
      <c r="AW63" s="80"/>
      <c r="AX63" s="80"/>
      <c r="AY63" s="80"/>
      <c r="AZ63" s="80"/>
      <c r="BA63" s="80"/>
      <c r="BB63" s="80"/>
      <c r="BC63">
        <v>1</v>
      </c>
      <c r="BD63" s="79" t="str">
        <f>REPLACE(INDEX(GroupVertices[Group],MATCH(Edges25[[#This Row],[Vertex 1]],GroupVertices[Vertex],0)),1,1,"")</f>
        <v>12</v>
      </c>
      <c r="BE63" s="79" t="str">
        <f>REPLACE(INDEX(GroupVertices[Group],MATCH(Edges25[[#This Row],[Vertex 2]],GroupVertices[Vertex],0)),1,1,"")</f>
        <v>12</v>
      </c>
      <c r="BF63" s="49">
        <v>0</v>
      </c>
      <c r="BG63" s="50">
        <v>0</v>
      </c>
      <c r="BH63" s="49">
        <v>0</v>
      </c>
      <c r="BI63" s="50">
        <v>0</v>
      </c>
      <c r="BJ63" s="49">
        <v>0</v>
      </c>
      <c r="BK63" s="50">
        <v>0</v>
      </c>
      <c r="BL63" s="49">
        <v>12</v>
      </c>
      <c r="BM63" s="50">
        <v>100</v>
      </c>
      <c r="BN63" s="49">
        <v>12</v>
      </c>
    </row>
    <row r="64" spans="1:66" ht="15">
      <c r="A64" s="65" t="s">
        <v>292</v>
      </c>
      <c r="B64" s="65" t="s">
        <v>384</v>
      </c>
      <c r="C64" s="66"/>
      <c r="D64" s="67"/>
      <c r="E64" s="66"/>
      <c r="F64" s="69"/>
      <c r="G64" s="66"/>
      <c r="H64" s="70"/>
      <c r="I64" s="71"/>
      <c r="J64" s="71"/>
      <c r="K64" s="35" t="s">
        <v>65</v>
      </c>
      <c r="L64" s="72">
        <v>102</v>
      </c>
      <c r="M64" s="72"/>
      <c r="N64" s="73"/>
      <c r="O64" s="80" t="s">
        <v>406</v>
      </c>
      <c r="P64" s="82">
        <v>44478.10313657407</v>
      </c>
      <c r="Q64" s="80" t="s">
        <v>450</v>
      </c>
      <c r="R64" s="85" t="str">
        <f>HYPERLINK("https://vegnews.com/2021/10/ashton-kutcher-cell-based-meat")</f>
        <v>https://vegnews.com/2021/10/ashton-kutcher-cell-based-meat</v>
      </c>
      <c r="S64" s="80" t="s">
        <v>532</v>
      </c>
      <c r="T64" s="80"/>
      <c r="U64" s="80"/>
      <c r="V64" s="85" t="str">
        <f>HYPERLINK("https://pbs.twimg.com/profile_images/1425616439764037637/-E-nV6_6_normal.jpg")</f>
        <v>https://pbs.twimg.com/profile_images/1425616439764037637/-E-nV6_6_normal.jpg</v>
      </c>
      <c r="W64" s="82">
        <v>44478.10313657407</v>
      </c>
      <c r="X64" s="87">
        <v>44478</v>
      </c>
      <c r="Y64" s="83" t="s">
        <v>628</v>
      </c>
      <c r="Z64" s="85" t="str">
        <f>HYPERLINK("https://twitter.com/ings4palin/status/1446663836543684610")</f>
        <v>https://twitter.com/ings4palin/status/1446663836543684610</v>
      </c>
      <c r="AA64" s="80"/>
      <c r="AB64" s="80"/>
      <c r="AC64" s="83" t="s">
        <v>811</v>
      </c>
      <c r="AD64" s="80"/>
      <c r="AE64" s="80" t="b">
        <v>0</v>
      </c>
      <c r="AF64" s="80">
        <v>2</v>
      </c>
      <c r="AG64" s="83" t="s">
        <v>958</v>
      </c>
      <c r="AH64" s="80" t="b">
        <v>0</v>
      </c>
      <c r="AI64" s="80" t="s">
        <v>967</v>
      </c>
      <c r="AJ64" s="80"/>
      <c r="AK64" s="83" t="s">
        <v>952</v>
      </c>
      <c r="AL64" s="80" t="b">
        <v>0</v>
      </c>
      <c r="AM64" s="80">
        <v>1</v>
      </c>
      <c r="AN64" s="83" t="s">
        <v>952</v>
      </c>
      <c r="AO64" s="83" t="s">
        <v>979</v>
      </c>
      <c r="AP64" s="80" t="b">
        <v>0</v>
      </c>
      <c r="AQ64" s="83" t="s">
        <v>811</v>
      </c>
      <c r="AR64" s="80" t="s">
        <v>196</v>
      </c>
      <c r="AS64" s="80">
        <v>0</v>
      </c>
      <c r="AT64" s="80">
        <v>0</v>
      </c>
      <c r="AU64" s="80"/>
      <c r="AV64" s="80"/>
      <c r="AW64" s="80"/>
      <c r="AX64" s="80"/>
      <c r="AY64" s="80"/>
      <c r="AZ64" s="80"/>
      <c r="BA64" s="80"/>
      <c r="BB64" s="80"/>
      <c r="BC64">
        <v>1</v>
      </c>
      <c r="BD64" s="79" t="str">
        <f>REPLACE(INDEX(GroupVertices[Group],MATCH(Edges25[[#This Row],[Vertex 1]],GroupVertices[Vertex],0)),1,1,"")</f>
        <v>9</v>
      </c>
      <c r="BE64" s="79" t="str">
        <f>REPLACE(INDEX(GroupVertices[Group],MATCH(Edges25[[#This Row],[Vertex 2]],GroupVertices[Vertex],0)),1,1,"")</f>
        <v>9</v>
      </c>
      <c r="BF64" s="49"/>
      <c r="BG64" s="50"/>
      <c r="BH64" s="49"/>
      <c r="BI64" s="50"/>
      <c r="BJ64" s="49"/>
      <c r="BK64" s="50"/>
      <c r="BL64" s="49"/>
      <c r="BM64" s="50"/>
      <c r="BN64" s="49"/>
    </row>
    <row r="65" spans="1:66" ht="15">
      <c r="A65" s="65" t="s">
        <v>293</v>
      </c>
      <c r="B65" s="65" t="s">
        <v>389</v>
      </c>
      <c r="C65" s="66"/>
      <c r="D65" s="67"/>
      <c r="E65" s="66"/>
      <c r="F65" s="69"/>
      <c r="G65" s="66"/>
      <c r="H65" s="70"/>
      <c r="I65" s="71"/>
      <c r="J65" s="71"/>
      <c r="K65" s="35" t="s">
        <v>65</v>
      </c>
      <c r="L65" s="72">
        <v>107</v>
      </c>
      <c r="M65" s="72"/>
      <c r="N65" s="73"/>
      <c r="O65" s="80" t="s">
        <v>407</v>
      </c>
      <c r="P65" s="82">
        <v>44478.144953703704</v>
      </c>
      <c r="Q65" s="80" t="s">
        <v>451</v>
      </c>
      <c r="R65" s="85" t="str">
        <f>HYPERLINK("https://www.linkedin.com/pulse/gfis-attempt-dismiss-counter-story-cell-based-meat-paul-wood-ao")</f>
        <v>https://www.linkedin.com/pulse/gfis-attempt-dismiss-counter-story-cell-based-meat-paul-wood-ao</v>
      </c>
      <c r="S65" s="80" t="s">
        <v>522</v>
      </c>
      <c r="T65" s="80"/>
      <c r="U65" s="80"/>
      <c r="V65" s="85" t="str">
        <f>HYPERLINK("https://pbs.twimg.com/profile_images/459261502323568640/VGRFs3QW_normal.jpeg")</f>
        <v>https://pbs.twimg.com/profile_images/459261502323568640/VGRFs3QW_normal.jpeg</v>
      </c>
      <c r="W65" s="82">
        <v>44478.144953703704</v>
      </c>
      <c r="X65" s="87">
        <v>44478</v>
      </c>
      <c r="Y65" s="83" t="s">
        <v>629</v>
      </c>
      <c r="Z65" s="85" t="str">
        <f>HYPERLINK("https://twitter.com/shauncoffey/status/1446678992140918784")</f>
        <v>https://twitter.com/shauncoffey/status/1446678992140918784</v>
      </c>
      <c r="AA65" s="80"/>
      <c r="AB65" s="80"/>
      <c r="AC65" s="83" t="s">
        <v>812</v>
      </c>
      <c r="AD65" s="80"/>
      <c r="AE65" s="80" t="b">
        <v>0</v>
      </c>
      <c r="AF65" s="80">
        <v>0</v>
      </c>
      <c r="AG65" s="83" t="s">
        <v>952</v>
      </c>
      <c r="AH65" s="80" t="b">
        <v>0</v>
      </c>
      <c r="AI65" s="80" t="s">
        <v>967</v>
      </c>
      <c r="AJ65" s="80"/>
      <c r="AK65" s="83" t="s">
        <v>952</v>
      </c>
      <c r="AL65" s="80" t="b">
        <v>0</v>
      </c>
      <c r="AM65" s="80">
        <v>1</v>
      </c>
      <c r="AN65" s="83" t="s">
        <v>827</v>
      </c>
      <c r="AO65" s="83" t="s">
        <v>972</v>
      </c>
      <c r="AP65" s="80" t="b">
        <v>0</v>
      </c>
      <c r="AQ65" s="83" t="s">
        <v>827</v>
      </c>
      <c r="AR65" s="80" t="s">
        <v>196</v>
      </c>
      <c r="AS65" s="80">
        <v>0</v>
      </c>
      <c r="AT65" s="80">
        <v>0</v>
      </c>
      <c r="AU65" s="80"/>
      <c r="AV65" s="80"/>
      <c r="AW65" s="80"/>
      <c r="AX65" s="80"/>
      <c r="AY65" s="80"/>
      <c r="AZ65" s="80"/>
      <c r="BA65" s="80"/>
      <c r="BB65" s="80"/>
      <c r="BC65">
        <v>1</v>
      </c>
      <c r="BD65" s="79" t="str">
        <f>REPLACE(INDEX(GroupVertices[Group],MATCH(Edges25[[#This Row],[Vertex 1]],GroupVertices[Vertex],0)),1,1,"")</f>
        <v>8</v>
      </c>
      <c r="BE65" s="79" t="str">
        <f>REPLACE(INDEX(GroupVertices[Group],MATCH(Edges25[[#This Row],[Vertex 2]],GroupVertices[Vertex],0)),1,1,"")</f>
        <v>8</v>
      </c>
      <c r="BF65" s="49"/>
      <c r="BG65" s="50"/>
      <c r="BH65" s="49"/>
      <c r="BI65" s="50"/>
      <c r="BJ65" s="49"/>
      <c r="BK65" s="50"/>
      <c r="BL65" s="49"/>
      <c r="BM65" s="50"/>
      <c r="BN65" s="49"/>
    </row>
    <row r="66" spans="1:66" ht="15">
      <c r="A66" s="65" t="s">
        <v>294</v>
      </c>
      <c r="B66" s="65" t="s">
        <v>377</v>
      </c>
      <c r="C66" s="66"/>
      <c r="D66" s="67"/>
      <c r="E66" s="66"/>
      <c r="F66" s="69"/>
      <c r="G66" s="66"/>
      <c r="H66" s="70"/>
      <c r="I66" s="71"/>
      <c r="J66" s="71"/>
      <c r="K66" s="35" t="s">
        <v>65</v>
      </c>
      <c r="L66" s="72">
        <v>109</v>
      </c>
      <c r="M66" s="72"/>
      <c r="N66" s="73"/>
      <c r="O66" s="80" t="s">
        <v>407</v>
      </c>
      <c r="P66" s="82">
        <v>44478.16715277778</v>
      </c>
      <c r="Q66" s="80" t="s">
        <v>452</v>
      </c>
      <c r="R66" s="85" t="str">
        <f>HYPERLINK("https://econ.trib.al/B6siniM")</f>
        <v>https://econ.trib.al/B6siniM</v>
      </c>
      <c r="S66" s="80" t="s">
        <v>528</v>
      </c>
      <c r="T66" s="80"/>
      <c r="U66" s="80"/>
      <c r="V66" s="85" t="str">
        <f>HYPERLINK("https://pbs.twimg.com/profile_images/1426387832952786947/fGiQPvFE_normal.jpg")</f>
        <v>https://pbs.twimg.com/profile_images/1426387832952786947/fGiQPvFE_normal.jpg</v>
      </c>
      <c r="W66" s="82">
        <v>44478.16715277778</v>
      </c>
      <c r="X66" s="87">
        <v>44478</v>
      </c>
      <c r="Y66" s="83" t="s">
        <v>630</v>
      </c>
      <c r="Z66" s="85" t="str">
        <f>HYPERLINK("https://twitter.com/asimkha02399869/status/1446687037659176962")</f>
        <v>https://twitter.com/asimkha02399869/status/1446687037659176962</v>
      </c>
      <c r="AA66" s="80"/>
      <c r="AB66" s="80"/>
      <c r="AC66" s="83" t="s">
        <v>813</v>
      </c>
      <c r="AD66" s="80"/>
      <c r="AE66" s="80" t="b">
        <v>0</v>
      </c>
      <c r="AF66" s="80">
        <v>0</v>
      </c>
      <c r="AG66" s="83" t="s">
        <v>952</v>
      </c>
      <c r="AH66" s="80" t="b">
        <v>0</v>
      </c>
      <c r="AI66" s="80" t="s">
        <v>967</v>
      </c>
      <c r="AJ66" s="80"/>
      <c r="AK66" s="83" t="s">
        <v>952</v>
      </c>
      <c r="AL66" s="80" t="b">
        <v>0</v>
      </c>
      <c r="AM66" s="80">
        <v>12</v>
      </c>
      <c r="AN66" s="83" t="s">
        <v>895</v>
      </c>
      <c r="AO66" s="83" t="s">
        <v>979</v>
      </c>
      <c r="AP66" s="80" t="b">
        <v>0</v>
      </c>
      <c r="AQ66" s="83" t="s">
        <v>895</v>
      </c>
      <c r="AR66" s="80" t="s">
        <v>196</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9"/>
      <c r="BG66" s="50"/>
      <c r="BH66" s="49"/>
      <c r="BI66" s="50"/>
      <c r="BJ66" s="49"/>
      <c r="BK66" s="50"/>
      <c r="BL66" s="49"/>
      <c r="BM66" s="50"/>
      <c r="BN66" s="49"/>
    </row>
    <row r="67" spans="1:66" ht="15">
      <c r="A67" s="65" t="s">
        <v>295</v>
      </c>
      <c r="B67" s="65" t="s">
        <v>377</v>
      </c>
      <c r="C67" s="66"/>
      <c r="D67" s="67"/>
      <c r="E67" s="66"/>
      <c r="F67" s="69"/>
      <c r="G67" s="66"/>
      <c r="H67" s="70"/>
      <c r="I67" s="71"/>
      <c r="J67" s="71"/>
      <c r="K67" s="35" t="s">
        <v>65</v>
      </c>
      <c r="L67" s="72">
        <v>113</v>
      </c>
      <c r="M67" s="72"/>
      <c r="N67" s="73"/>
      <c r="O67" s="80" t="s">
        <v>407</v>
      </c>
      <c r="P67" s="82">
        <v>44478.17269675926</v>
      </c>
      <c r="Q67" s="80" t="s">
        <v>452</v>
      </c>
      <c r="R67" s="85" t="str">
        <f>HYPERLINK("https://econ.trib.al/B6siniM")</f>
        <v>https://econ.trib.al/B6siniM</v>
      </c>
      <c r="S67" s="80" t="s">
        <v>528</v>
      </c>
      <c r="T67" s="80"/>
      <c r="U67" s="80"/>
      <c r="V67" s="85" t="str">
        <f>HYPERLINK("https://pbs.twimg.com/profile_images/3032298004/3383c00ae9195cf8f2d684781486830b_normal.jpeg")</f>
        <v>https://pbs.twimg.com/profile_images/3032298004/3383c00ae9195cf8f2d684781486830b_normal.jpeg</v>
      </c>
      <c r="W67" s="82">
        <v>44478.17269675926</v>
      </c>
      <c r="X67" s="87">
        <v>44478</v>
      </c>
      <c r="Y67" s="83" t="s">
        <v>631</v>
      </c>
      <c r="Z67" s="85" t="str">
        <f>HYPERLINK("https://twitter.com/ksmohamed_sunil/status/1446689047162732548")</f>
        <v>https://twitter.com/ksmohamed_sunil/status/1446689047162732548</v>
      </c>
      <c r="AA67" s="80"/>
      <c r="AB67" s="80"/>
      <c r="AC67" s="83" t="s">
        <v>814</v>
      </c>
      <c r="AD67" s="80"/>
      <c r="AE67" s="80" t="b">
        <v>0</v>
      </c>
      <c r="AF67" s="80">
        <v>0</v>
      </c>
      <c r="AG67" s="83" t="s">
        <v>952</v>
      </c>
      <c r="AH67" s="80" t="b">
        <v>0</v>
      </c>
      <c r="AI67" s="80" t="s">
        <v>967</v>
      </c>
      <c r="AJ67" s="80"/>
      <c r="AK67" s="83" t="s">
        <v>952</v>
      </c>
      <c r="AL67" s="80" t="b">
        <v>0</v>
      </c>
      <c r="AM67" s="80">
        <v>12</v>
      </c>
      <c r="AN67" s="83" t="s">
        <v>895</v>
      </c>
      <c r="AO67" s="83" t="s">
        <v>976</v>
      </c>
      <c r="AP67" s="80" t="b">
        <v>0</v>
      </c>
      <c r="AQ67" s="83" t="s">
        <v>895</v>
      </c>
      <c r="AR67" s="80" t="s">
        <v>196</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9"/>
      <c r="BG67" s="50"/>
      <c r="BH67" s="49"/>
      <c r="BI67" s="50"/>
      <c r="BJ67" s="49"/>
      <c r="BK67" s="50"/>
      <c r="BL67" s="49"/>
      <c r="BM67" s="50"/>
      <c r="BN67" s="49"/>
    </row>
    <row r="68" spans="1:66" ht="15">
      <c r="A68" s="65" t="s">
        <v>296</v>
      </c>
      <c r="B68" s="65" t="s">
        <v>377</v>
      </c>
      <c r="C68" s="66"/>
      <c r="D68" s="67"/>
      <c r="E68" s="66"/>
      <c r="F68" s="69"/>
      <c r="G68" s="66"/>
      <c r="H68" s="70"/>
      <c r="I68" s="71"/>
      <c r="J68" s="71"/>
      <c r="K68" s="35" t="s">
        <v>65</v>
      </c>
      <c r="L68" s="72">
        <v>117</v>
      </c>
      <c r="M68" s="72"/>
      <c r="N68" s="73"/>
      <c r="O68" s="80" t="s">
        <v>407</v>
      </c>
      <c r="P68" s="82">
        <v>44478.17460648148</v>
      </c>
      <c r="Q68" s="80" t="s">
        <v>452</v>
      </c>
      <c r="R68" s="85" t="str">
        <f>HYPERLINK("https://econ.trib.al/B6siniM")</f>
        <v>https://econ.trib.al/B6siniM</v>
      </c>
      <c r="S68" s="80" t="s">
        <v>528</v>
      </c>
      <c r="T68" s="80"/>
      <c r="U68" s="80"/>
      <c r="V68" s="85" t="str">
        <f>HYPERLINK("https://pbs.twimg.com/profile_images/1444843113990656002/hWT0KNYS_normal.jpg")</f>
        <v>https://pbs.twimg.com/profile_images/1444843113990656002/hWT0KNYS_normal.jpg</v>
      </c>
      <c r="W68" s="82">
        <v>44478.17460648148</v>
      </c>
      <c r="X68" s="87">
        <v>44478</v>
      </c>
      <c r="Y68" s="83" t="s">
        <v>632</v>
      </c>
      <c r="Z68" s="85" t="str">
        <f>HYPERLINK("https://twitter.com/hana_soul_hack/status/1446689739155783682")</f>
        <v>https://twitter.com/hana_soul_hack/status/1446689739155783682</v>
      </c>
      <c r="AA68" s="80"/>
      <c r="AB68" s="80"/>
      <c r="AC68" s="83" t="s">
        <v>815</v>
      </c>
      <c r="AD68" s="80"/>
      <c r="AE68" s="80" t="b">
        <v>0</v>
      </c>
      <c r="AF68" s="80">
        <v>0</v>
      </c>
      <c r="AG68" s="83" t="s">
        <v>952</v>
      </c>
      <c r="AH68" s="80" t="b">
        <v>0</v>
      </c>
      <c r="AI68" s="80" t="s">
        <v>967</v>
      </c>
      <c r="AJ68" s="80"/>
      <c r="AK68" s="83" t="s">
        <v>952</v>
      </c>
      <c r="AL68" s="80" t="b">
        <v>0</v>
      </c>
      <c r="AM68" s="80">
        <v>12</v>
      </c>
      <c r="AN68" s="83" t="s">
        <v>895</v>
      </c>
      <c r="AO68" s="83" t="s">
        <v>979</v>
      </c>
      <c r="AP68" s="80" t="b">
        <v>0</v>
      </c>
      <c r="AQ68" s="83" t="s">
        <v>895</v>
      </c>
      <c r="AR68" s="80" t="s">
        <v>196</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9"/>
      <c r="BG68" s="50"/>
      <c r="BH68" s="49"/>
      <c r="BI68" s="50"/>
      <c r="BJ68" s="49"/>
      <c r="BK68" s="50"/>
      <c r="BL68" s="49"/>
      <c r="BM68" s="50"/>
      <c r="BN68" s="49"/>
    </row>
    <row r="69" spans="1:66" ht="15">
      <c r="A69" s="65" t="s">
        <v>297</v>
      </c>
      <c r="B69" s="65" t="s">
        <v>377</v>
      </c>
      <c r="C69" s="66"/>
      <c r="D69" s="67"/>
      <c r="E69" s="66"/>
      <c r="F69" s="69"/>
      <c r="G69" s="66"/>
      <c r="H69" s="70"/>
      <c r="I69" s="71"/>
      <c r="J69" s="71"/>
      <c r="K69" s="35" t="s">
        <v>65</v>
      </c>
      <c r="L69" s="72">
        <v>121</v>
      </c>
      <c r="M69" s="72"/>
      <c r="N69" s="73"/>
      <c r="O69" s="80" t="s">
        <v>407</v>
      </c>
      <c r="P69" s="82">
        <v>44478.180393518516</v>
      </c>
      <c r="Q69" s="80" t="s">
        <v>452</v>
      </c>
      <c r="R69" s="85" t="str">
        <f>HYPERLINK("https://econ.trib.al/B6siniM")</f>
        <v>https://econ.trib.al/B6siniM</v>
      </c>
      <c r="S69" s="80" t="s">
        <v>528</v>
      </c>
      <c r="T69" s="80"/>
      <c r="U69" s="80"/>
      <c r="V69" s="85" t="str">
        <f>HYPERLINK("https://pbs.twimg.com/profile_images/1412907769376747525/W7bLBkKE_normal.jpg")</f>
        <v>https://pbs.twimg.com/profile_images/1412907769376747525/W7bLBkKE_normal.jpg</v>
      </c>
      <c r="W69" s="82">
        <v>44478.180393518516</v>
      </c>
      <c r="X69" s="87">
        <v>44478</v>
      </c>
      <c r="Y69" s="83" t="s">
        <v>633</v>
      </c>
      <c r="Z69" s="85" t="str">
        <f>HYPERLINK("https://twitter.com/travermadondo/status/1446691835334778883")</f>
        <v>https://twitter.com/travermadondo/status/1446691835334778883</v>
      </c>
      <c r="AA69" s="80"/>
      <c r="AB69" s="80"/>
      <c r="AC69" s="83" t="s">
        <v>816</v>
      </c>
      <c r="AD69" s="80"/>
      <c r="AE69" s="80" t="b">
        <v>0</v>
      </c>
      <c r="AF69" s="80">
        <v>0</v>
      </c>
      <c r="AG69" s="83" t="s">
        <v>952</v>
      </c>
      <c r="AH69" s="80" t="b">
        <v>0</v>
      </c>
      <c r="AI69" s="80" t="s">
        <v>967</v>
      </c>
      <c r="AJ69" s="80"/>
      <c r="AK69" s="83" t="s">
        <v>952</v>
      </c>
      <c r="AL69" s="80" t="b">
        <v>0</v>
      </c>
      <c r="AM69" s="80">
        <v>12</v>
      </c>
      <c r="AN69" s="83" t="s">
        <v>895</v>
      </c>
      <c r="AO69" s="83" t="s">
        <v>972</v>
      </c>
      <c r="AP69" s="80" t="b">
        <v>0</v>
      </c>
      <c r="AQ69" s="83" t="s">
        <v>895</v>
      </c>
      <c r="AR69" s="80" t="s">
        <v>196</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1</v>
      </c>
      <c r="BF69" s="49"/>
      <c r="BG69" s="50"/>
      <c r="BH69" s="49"/>
      <c r="BI69" s="50"/>
      <c r="BJ69" s="49"/>
      <c r="BK69" s="50"/>
      <c r="BL69" s="49"/>
      <c r="BM69" s="50"/>
      <c r="BN69" s="49"/>
    </row>
    <row r="70" spans="1:66" ht="15">
      <c r="A70" s="65" t="s">
        <v>298</v>
      </c>
      <c r="B70" s="65" t="s">
        <v>328</v>
      </c>
      <c r="C70" s="66"/>
      <c r="D70" s="67"/>
      <c r="E70" s="66"/>
      <c r="F70" s="69"/>
      <c r="G70" s="66"/>
      <c r="H70" s="70"/>
      <c r="I70" s="71"/>
      <c r="J70" s="71"/>
      <c r="K70" s="35" t="s">
        <v>65</v>
      </c>
      <c r="L70" s="72">
        <v>125</v>
      </c>
      <c r="M70" s="72"/>
      <c r="N70" s="73"/>
      <c r="O70" s="80" t="s">
        <v>408</v>
      </c>
      <c r="P70" s="82">
        <v>44478.18577546296</v>
      </c>
      <c r="Q70" s="80" t="s">
        <v>449</v>
      </c>
      <c r="R70" s="85" t="str">
        <f>HYPERLINK("https://www.greenqueen.com.hk/hong-kong-cell-based-meat-study/?ct=t%28OCT+8+2020+INDUSTRY+SCOOP_COPY_01%29")</f>
        <v>https://www.greenqueen.com.hk/hong-kong-cell-based-meat-study/?ct=t%28OCT+8+2020+INDUSTRY+SCOOP_COPY_01%29</v>
      </c>
      <c r="S70" s="80" t="s">
        <v>525</v>
      </c>
      <c r="T70" s="83" t="s">
        <v>557</v>
      </c>
      <c r="U70" s="85" t="str">
        <f>HYPERLINK("https://pbs.twimg.com/media/FBD5ahCUUAYHMaD.jpg")</f>
        <v>https://pbs.twimg.com/media/FBD5ahCUUAYHMaD.jpg</v>
      </c>
      <c r="V70" s="85" t="str">
        <f>HYPERLINK("https://pbs.twimg.com/media/FBD5ahCUUAYHMaD.jpg")</f>
        <v>https://pbs.twimg.com/media/FBD5ahCUUAYHMaD.jpg</v>
      </c>
      <c r="W70" s="82">
        <v>44478.18577546296</v>
      </c>
      <c r="X70" s="87">
        <v>44478</v>
      </c>
      <c r="Y70" s="83" t="s">
        <v>634</v>
      </c>
      <c r="Z70" s="85" t="str">
        <f>HYPERLINK("https://twitter.com/greenassam/status/1446693785547657217")</f>
        <v>https://twitter.com/greenassam/status/1446693785547657217</v>
      </c>
      <c r="AA70" s="80"/>
      <c r="AB70" s="80"/>
      <c r="AC70" s="83" t="s">
        <v>817</v>
      </c>
      <c r="AD70" s="80"/>
      <c r="AE70" s="80" t="b">
        <v>0</v>
      </c>
      <c r="AF70" s="80">
        <v>0</v>
      </c>
      <c r="AG70" s="83" t="s">
        <v>952</v>
      </c>
      <c r="AH70" s="80" t="b">
        <v>0</v>
      </c>
      <c r="AI70" s="80" t="s">
        <v>967</v>
      </c>
      <c r="AJ70" s="80"/>
      <c r="AK70" s="83" t="s">
        <v>952</v>
      </c>
      <c r="AL70" s="80" t="b">
        <v>0</v>
      </c>
      <c r="AM70" s="80">
        <v>3</v>
      </c>
      <c r="AN70" s="83" t="s">
        <v>860</v>
      </c>
      <c r="AO70" s="83" t="s">
        <v>979</v>
      </c>
      <c r="AP70" s="80" t="b">
        <v>0</v>
      </c>
      <c r="AQ70" s="83" t="s">
        <v>860</v>
      </c>
      <c r="AR70" s="80" t="s">
        <v>196</v>
      </c>
      <c r="AS70" s="80">
        <v>0</v>
      </c>
      <c r="AT70" s="80">
        <v>0</v>
      </c>
      <c r="AU70" s="80"/>
      <c r="AV70" s="80"/>
      <c r="AW70" s="80"/>
      <c r="AX70" s="80"/>
      <c r="AY70" s="80"/>
      <c r="AZ70" s="80"/>
      <c r="BA70" s="80"/>
      <c r="BB70" s="80"/>
      <c r="BC70">
        <v>1</v>
      </c>
      <c r="BD70" s="79" t="str">
        <f>REPLACE(INDEX(GroupVertices[Group],MATCH(Edges25[[#This Row],[Vertex 1]],GroupVertices[Vertex],0)),1,1,"")</f>
        <v>12</v>
      </c>
      <c r="BE70" s="79" t="str">
        <f>REPLACE(INDEX(GroupVertices[Group],MATCH(Edges25[[#This Row],[Vertex 2]],GroupVertices[Vertex],0)),1,1,"")</f>
        <v>12</v>
      </c>
      <c r="BF70" s="49">
        <v>0</v>
      </c>
      <c r="BG70" s="50">
        <v>0</v>
      </c>
      <c r="BH70" s="49">
        <v>0</v>
      </c>
      <c r="BI70" s="50">
        <v>0</v>
      </c>
      <c r="BJ70" s="49">
        <v>0</v>
      </c>
      <c r="BK70" s="50">
        <v>0</v>
      </c>
      <c r="BL70" s="49">
        <v>12</v>
      </c>
      <c r="BM70" s="50">
        <v>100</v>
      </c>
      <c r="BN70" s="49">
        <v>12</v>
      </c>
    </row>
    <row r="71" spans="1:66" ht="15">
      <c r="A71" s="65" t="s">
        <v>299</v>
      </c>
      <c r="B71" s="65" t="s">
        <v>377</v>
      </c>
      <c r="C71" s="66"/>
      <c r="D71" s="67"/>
      <c r="E71" s="66"/>
      <c r="F71" s="69"/>
      <c r="G71" s="66"/>
      <c r="H71" s="70"/>
      <c r="I71" s="71"/>
      <c r="J71" s="71"/>
      <c r="K71" s="35" t="s">
        <v>65</v>
      </c>
      <c r="L71" s="72">
        <v>126</v>
      </c>
      <c r="M71" s="72"/>
      <c r="N71" s="73"/>
      <c r="O71" s="80" t="s">
        <v>407</v>
      </c>
      <c r="P71" s="82">
        <v>44476.44332175926</v>
      </c>
      <c r="Q71" s="80" t="s">
        <v>432</v>
      </c>
      <c r="R71" s="85" t="str">
        <f>HYPERLINK("https://econ.trib.al/UuLdSAj")</f>
        <v>https://econ.trib.al/UuLdSAj</v>
      </c>
      <c r="S71" s="80" t="s">
        <v>528</v>
      </c>
      <c r="T71" s="80"/>
      <c r="U71" s="80"/>
      <c r="V71" s="85" t="str">
        <f>HYPERLINK("https://pbs.twimg.com/profile_images/1442898995135729665/9EcK_O4G_normal.jpg")</f>
        <v>https://pbs.twimg.com/profile_images/1442898995135729665/9EcK_O4G_normal.jpg</v>
      </c>
      <c r="W71" s="82">
        <v>44476.44332175926</v>
      </c>
      <c r="X71" s="87">
        <v>44476</v>
      </c>
      <c r="Y71" s="83" t="s">
        <v>635</v>
      </c>
      <c r="Z71" s="85" t="str">
        <f>HYPERLINK("https://twitter.com/georgerowell12/status/1446062340152205314")</f>
        <v>https://twitter.com/georgerowell12/status/1446062340152205314</v>
      </c>
      <c r="AA71" s="80"/>
      <c r="AB71" s="80"/>
      <c r="AC71" s="83" t="s">
        <v>818</v>
      </c>
      <c r="AD71" s="80"/>
      <c r="AE71" s="80" t="b">
        <v>0</v>
      </c>
      <c r="AF71" s="80">
        <v>0</v>
      </c>
      <c r="AG71" s="83" t="s">
        <v>952</v>
      </c>
      <c r="AH71" s="80" t="b">
        <v>0</v>
      </c>
      <c r="AI71" s="80" t="s">
        <v>967</v>
      </c>
      <c r="AJ71" s="80"/>
      <c r="AK71" s="83" t="s">
        <v>952</v>
      </c>
      <c r="AL71" s="80" t="b">
        <v>0</v>
      </c>
      <c r="AM71" s="80">
        <v>11</v>
      </c>
      <c r="AN71" s="83" t="s">
        <v>894</v>
      </c>
      <c r="AO71" s="83" t="s">
        <v>976</v>
      </c>
      <c r="AP71" s="80" t="b">
        <v>0</v>
      </c>
      <c r="AQ71" s="83" t="s">
        <v>894</v>
      </c>
      <c r="AR71" s="80" t="s">
        <v>196</v>
      </c>
      <c r="AS71" s="80">
        <v>0</v>
      </c>
      <c r="AT71" s="80">
        <v>0</v>
      </c>
      <c r="AU71" s="80"/>
      <c r="AV71" s="80"/>
      <c r="AW71" s="80"/>
      <c r="AX71" s="80"/>
      <c r="AY71" s="80"/>
      <c r="AZ71" s="80"/>
      <c r="BA71" s="80"/>
      <c r="BB71" s="80"/>
      <c r="BC71">
        <v>2</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299</v>
      </c>
      <c r="B72" s="65" t="s">
        <v>377</v>
      </c>
      <c r="C72" s="66"/>
      <c r="D72" s="67"/>
      <c r="E72" s="66"/>
      <c r="F72" s="69"/>
      <c r="G72" s="66"/>
      <c r="H72" s="70"/>
      <c r="I72" s="71"/>
      <c r="J72" s="71"/>
      <c r="K72" s="35" t="s">
        <v>65</v>
      </c>
      <c r="L72" s="72">
        <v>130</v>
      </c>
      <c r="M72" s="72"/>
      <c r="N72" s="73"/>
      <c r="O72" s="80" t="s">
        <v>407</v>
      </c>
      <c r="P72" s="82">
        <v>44478.197164351855</v>
      </c>
      <c r="Q72" s="80" t="s">
        <v>452</v>
      </c>
      <c r="R72" s="85" t="str">
        <f>HYPERLINK("https://econ.trib.al/B6siniM")</f>
        <v>https://econ.trib.al/B6siniM</v>
      </c>
      <c r="S72" s="80" t="s">
        <v>528</v>
      </c>
      <c r="T72" s="80"/>
      <c r="U72" s="80"/>
      <c r="V72" s="85" t="str">
        <f>HYPERLINK("https://pbs.twimg.com/profile_images/1442898995135729665/9EcK_O4G_normal.jpg")</f>
        <v>https://pbs.twimg.com/profile_images/1442898995135729665/9EcK_O4G_normal.jpg</v>
      </c>
      <c r="W72" s="82">
        <v>44478.197164351855</v>
      </c>
      <c r="X72" s="87">
        <v>44478</v>
      </c>
      <c r="Y72" s="83" t="s">
        <v>636</v>
      </c>
      <c r="Z72" s="85" t="str">
        <f>HYPERLINK("https://twitter.com/georgerowell12/status/1446697912986218496")</f>
        <v>https://twitter.com/georgerowell12/status/1446697912986218496</v>
      </c>
      <c r="AA72" s="80"/>
      <c r="AB72" s="80"/>
      <c r="AC72" s="83" t="s">
        <v>819</v>
      </c>
      <c r="AD72" s="80"/>
      <c r="AE72" s="80" t="b">
        <v>0</v>
      </c>
      <c r="AF72" s="80">
        <v>0</v>
      </c>
      <c r="AG72" s="83" t="s">
        <v>952</v>
      </c>
      <c r="AH72" s="80" t="b">
        <v>0</v>
      </c>
      <c r="AI72" s="80" t="s">
        <v>967</v>
      </c>
      <c r="AJ72" s="80"/>
      <c r="AK72" s="83" t="s">
        <v>952</v>
      </c>
      <c r="AL72" s="80" t="b">
        <v>0</v>
      </c>
      <c r="AM72" s="80">
        <v>12</v>
      </c>
      <c r="AN72" s="83" t="s">
        <v>895</v>
      </c>
      <c r="AO72" s="83" t="s">
        <v>976</v>
      </c>
      <c r="AP72" s="80" t="b">
        <v>0</v>
      </c>
      <c r="AQ72" s="83" t="s">
        <v>895</v>
      </c>
      <c r="AR72" s="80" t="s">
        <v>196</v>
      </c>
      <c r="AS72" s="80">
        <v>0</v>
      </c>
      <c r="AT72" s="80">
        <v>0</v>
      </c>
      <c r="AU72" s="80"/>
      <c r="AV72" s="80"/>
      <c r="AW72" s="80"/>
      <c r="AX72" s="80"/>
      <c r="AY72" s="80"/>
      <c r="AZ72" s="80"/>
      <c r="BA72" s="80"/>
      <c r="BB72" s="80"/>
      <c r="BC72">
        <v>2</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300</v>
      </c>
      <c r="B73" s="65" t="s">
        <v>377</v>
      </c>
      <c r="C73" s="66"/>
      <c r="D73" s="67"/>
      <c r="E73" s="66"/>
      <c r="F73" s="69"/>
      <c r="G73" s="66"/>
      <c r="H73" s="70"/>
      <c r="I73" s="71"/>
      <c r="J73" s="71"/>
      <c r="K73" s="35" t="s">
        <v>65</v>
      </c>
      <c r="L73" s="72">
        <v>134</v>
      </c>
      <c r="M73" s="72"/>
      <c r="N73" s="73"/>
      <c r="O73" s="80" t="s">
        <v>407</v>
      </c>
      <c r="P73" s="82">
        <v>44478.20721064815</v>
      </c>
      <c r="Q73" s="80" t="s">
        <v>452</v>
      </c>
      <c r="R73" s="85" t="str">
        <f>HYPERLINK("https://econ.trib.al/B6siniM")</f>
        <v>https://econ.trib.al/B6siniM</v>
      </c>
      <c r="S73" s="80" t="s">
        <v>528</v>
      </c>
      <c r="T73" s="80"/>
      <c r="U73" s="80"/>
      <c r="V73" s="85" t="str">
        <f>HYPERLINK("https://abs.twimg.com/sticky/default_profile_images/default_profile_normal.png")</f>
        <v>https://abs.twimg.com/sticky/default_profile_images/default_profile_normal.png</v>
      </c>
      <c r="W73" s="82">
        <v>44478.20721064815</v>
      </c>
      <c r="X73" s="87">
        <v>44478</v>
      </c>
      <c r="Y73" s="83" t="s">
        <v>637</v>
      </c>
      <c r="Z73" s="85" t="str">
        <f>HYPERLINK("https://twitter.com/sadam08499791/status/1446701552593473537")</f>
        <v>https://twitter.com/sadam08499791/status/1446701552593473537</v>
      </c>
      <c r="AA73" s="80"/>
      <c r="AB73" s="80"/>
      <c r="AC73" s="83" t="s">
        <v>820</v>
      </c>
      <c r="AD73" s="80"/>
      <c r="AE73" s="80" t="b">
        <v>0</v>
      </c>
      <c r="AF73" s="80">
        <v>0</v>
      </c>
      <c r="AG73" s="83" t="s">
        <v>952</v>
      </c>
      <c r="AH73" s="80" t="b">
        <v>0</v>
      </c>
      <c r="AI73" s="80" t="s">
        <v>967</v>
      </c>
      <c r="AJ73" s="80"/>
      <c r="AK73" s="83" t="s">
        <v>952</v>
      </c>
      <c r="AL73" s="80" t="b">
        <v>0</v>
      </c>
      <c r="AM73" s="80">
        <v>12</v>
      </c>
      <c r="AN73" s="83" t="s">
        <v>895</v>
      </c>
      <c r="AO73" s="83" t="s">
        <v>979</v>
      </c>
      <c r="AP73" s="80" t="b">
        <v>0</v>
      </c>
      <c r="AQ73" s="83" t="s">
        <v>895</v>
      </c>
      <c r="AR73" s="80" t="s">
        <v>196</v>
      </c>
      <c r="AS73" s="80">
        <v>0</v>
      </c>
      <c r="AT73" s="80">
        <v>0</v>
      </c>
      <c r="AU73" s="80"/>
      <c r="AV73" s="80"/>
      <c r="AW73" s="80"/>
      <c r="AX73" s="80"/>
      <c r="AY73" s="80"/>
      <c r="AZ73" s="80"/>
      <c r="BA73" s="80"/>
      <c r="BB73" s="80"/>
      <c r="BC73">
        <v>1</v>
      </c>
      <c r="BD73" s="79" t="str">
        <f>REPLACE(INDEX(GroupVertices[Group],MATCH(Edges25[[#This Row],[Vertex 1]],GroupVertices[Vertex],0)),1,1,"")</f>
        <v>1</v>
      </c>
      <c r="BE73" s="79" t="str">
        <f>REPLACE(INDEX(GroupVertices[Group],MATCH(Edges25[[#This Row],[Vertex 2]],GroupVertices[Vertex],0)),1,1,"")</f>
        <v>1</v>
      </c>
      <c r="BF73" s="49"/>
      <c r="BG73" s="50"/>
      <c r="BH73" s="49"/>
      <c r="BI73" s="50"/>
      <c r="BJ73" s="49"/>
      <c r="BK73" s="50"/>
      <c r="BL73" s="49"/>
      <c r="BM73" s="50"/>
      <c r="BN73" s="49"/>
    </row>
    <row r="74" spans="1:66" ht="15">
      <c r="A74" s="65" t="s">
        <v>301</v>
      </c>
      <c r="B74" s="65" t="s">
        <v>377</v>
      </c>
      <c r="C74" s="66"/>
      <c r="D74" s="67"/>
      <c r="E74" s="66"/>
      <c r="F74" s="69"/>
      <c r="G74" s="66"/>
      <c r="H74" s="70"/>
      <c r="I74" s="71"/>
      <c r="J74" s="71"/>
      <c r="K74" s="35" t="s">
        <v>65</v>
      </c>
      <c r="L74" s="72">
        <v>138</v>
      </c>
      <c r="M74" s="72"/>
      <c r="N74" s="73"/>
      <c r="O74" s="80" t="s">
        <v>407</v>
      </c>
      <c r="P74" s="82">
        <v>44478.32278935185</v>
      </c>
      <c r="Q74" s="80" t="s">
        <v>452</v>
      </c>
      <c r="R74" s="85" t="str">
        <f>HYPERLINK("https://econ.trib.al/B6siniM")</f>
        <v>https://econ.trib.al/B6siniM</v>
      </c>
      <c r="S74" s="80" t="s">
        <v>528</v>
      </c>
      <c r="T74" s="80"/>
      <c r="U74" s="80"/>
      <c r="V74" s="85" t="str">
        <f>HYPERLINK("https://pbs.twimg.com/profile_images/1276126604767506432/v5TAI32z_normal.jpg")</f>
        <v>https://pbs.twimg.com/profile_images/1276126604767506432/v5TAI32z_normal.jpg</v>
      </c>
      <c r="W74" s="82">
        <v>44478.32278935185</v>
      </c>
      <c r="X74" s="87">
        <v>44478</v>
      </c>
      <c r="Y74" s="83" t="s">
        <v>638</v>
      </c>
      <c r="Z74" s="85" t="str">
        <f>HYPERLINK("https://twitter.com/orbitalgardens/status/1446743439819816960")</f>
        <v>https://twitter.com/orbitalgardens/status/1446743439819816960</v>
      </c>
      <c r="AA74" s="80"/>
      <c r="AB74" s="80"/>
      <c r="AC74" s="83" t="s">
        <v>821</v>
      </c>
      <c r="AD74" s="80"/>
      <c r="AE74" s="80" t="b">
        <v>0</v>
      </c>
      <c r="AF74" s="80">
        <v>0</v>
      </c>
      <c r="AG74" s="83" t="s">
        <v>952</v>
      </c>
      <c r="AH74" s="80" t="b">
        <v>0</v>
      </c>
      <c r="AI74" s="80" t="s">
        <v>967</v>
      </c>
      <c r="AJ74" s="80"/>
      <c r="AK74" s="83" t="s">
        <v>952</v>
      </c>
      <c r="AL74" s="80" t="b">
        <v>0</v>
      </c>
      <c r="AM74" s="80">
        <v>12</v>
      </c>
      <c r="AN74" s="83" t="s">
        <v>895</v>
      </c>
      <c r="AO74" s="83" t="s">
        <v>972</v>
      </c>
      <c r="AP74" s="80" t="b">
        <v>0</v>
      </c>
      <c r="AQ74" s="83" t="s">
        <v>895</v>
      </c>
      <c r="AR74" s="80" t="s">
        <v>196</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1</v>
      </c>
      <c r="BF74" s="49"/>
      <c r="BG74" s="50"/>
      <c r="BH74" s="49"/>
      <c r="BI74" s="50"/>
      <c r="BJ74" s="49"/>
      <c r="BK74" s="50"/>
      <c r="BL74" s="49"/>
      <c r="BM74" s="50"/>
      <c r="BN74" s="49"/>
    </row>
    <row r="75" spans="1:66" ht="15">
      <c r="A75" s="65" t="s">
        <v>302</v>
      </c>
      <c r="B75" s="65" t="s">
        <v>377</v>
      </c>
      <c r="C75" s="66"/>
      <c r="D75" s="67"/>
      <c r="E75" s="66"/>
      <c r="F75" s="69"/>
      <c r="G75" s="66"/>
      <c r="H75" s="70"/>
      <c r="I75" s="71"/>
      <c r="J75" s="71"/>
      <c r="K75" s="35" t="s">
        <v>65</v>
      </c>
      <c r="L75" s="72">
        <v>142</v>
      </c>
      <c r="M75" s="72"/>
      <c r="N75" s="73"/>
      <c r="O75" s="80" t="s">
        <v>407</v>
      </c>
      <c r="P75" s="82">
        <v>44478.33728009259</v>
      </c>
      <c r="Q75" s="80" t="s">
        <v>452</v>
      </c>
      <c r="R75" s="85" t="str">
        <f>HYPERLINK("https://econ.trib.al/B6siniM")</f>
        <v>https://econ.trib.al/B6siniM</v>
      </c>
      <c r="S75" s="80" t="s">
        <v>528</v>
      </c>
      <c r="T75" s="80"/>
      <c r="U75" s="80"/>
      <c r="V75" s="85" t="str">
        <f>HYPERLINK("https://pbs.twimg.com/profile_images/1291052047643471872/WtgzbTp7_normal.jpg")</f>
        <v>https://pbs.twimg.com/profile_images/1291052047643471872/WtgzbTp7_normal.jpg</v>
      </c>
      <c r="W75" s="82">
        <v>44478.33728009259</v>
      </c>
      <c r="X75" s="87">
        <v>44478</v>
      </c>
      <c r="Y75" s="83" t="s">
        <v>639</v>
      </c>
      <c r="Z75" s="85" t="str">
        <f>HYPERLINK("https://twitter.com/loucoop18/status/1446748690081738754")</f>
        <v>https://twitter.com/loucoop18/status/1446748690081738754</v>
      </c>
      <c r="AA75" s="80"/>
      <c r="AB75" s="80"/>
      <c r="AC75" s="83" t="s">
        <v>822</v>
      </c>
      <c r="AD75" s="80"/>
      <c r="AE75" s="80" t="b">
        <v>0</v>
      </c>
      <c r="AF75" s="80">
        <v>0</v>
      </c>
      <c r="AG75" s="83" t="s">
        <v>952</v>
      </c>
      <c r="AH75" s="80" t="b">
        <v>0</v>
      </c>
      <c r="AI75" s="80" t="s">
        <v>967</v>
      </c>
      <c r="AJ75" s="80"/>
      <c r="AK75" s="83" t="s">
        <v>952</v>
      </c>
      <c r="AL75" s="80" t="b">
        <v>0</v>
      </c>
      <c r="AM75" s="80">
        <v>12</v>
      </c>
      <c r="AN75" s="83" t="s">
        <v>895</v>
      </c>
      <c r="AO75" s="83" t="s">
        <v>976</v>
      </c>
      <c r="AP75" s="80" t="b">
        <v>0</v>
      </c>
      <c r="AQ75" s="83" t="s">
        <v>895</v>
      </c>
      <c r="AR75" s="80" t="s">
        <v>196</v>
      </c>
      <c r="AS75" s="80">
        <v>0</v>
      </c>
      <c r="AT75" s="80">
        <v>0</v>
      </c>
      <c r="AU75" s="80"/>
      <c r="AV75" s="80"/>
      <c r="AW75" s="80"/>
      <c r="AX75" s="80"/>
      <c r="AY75" s="80"/>
      <c r="AZ75" s="80"/>
      <c r="BA75" s="80"/>
      <c r="BB75" s="80"/>
      <c r="BC75">
        <v>1</v>
      </c>
      <c r="BD75" s="79" t="str">
        <f>REPLACE(INDEX(GroupVertices[Group],MATCH(Edges25[[#This Row],[Vertex 1]],GroupVertices[Vertex],0)),1,1,"")</f>
        <v>1</v>
      </c>
      <c r="BE75" s="79" t="str">
        <f>REPLACE(INDEX(GroupVertices[Group],MATCH(Edges25[[#This Row],[Vertex 2]],GroupVertices[Vertex],0)),1,1,"")</f>
        <v>1</v>
      </c>
      <c r="BF75" s="49"/>
      <c r="BG75" s="50"/>
      <c r="BH75" s="49"/>
      <c r="BI75" s="50"/>
      <c r="BJ75" s="49"/>
      <c r="BK75" s="50"/>
      <c r="BL75" s="49"/>
      <c r="BM75" s="50"/>
      <c r="BN75" s="49"/>
    </row>
    <row r="76" spans="1:66" ht="15">
      <c r="A76" s="65" t="s">
        <v>303</v>
      </c>
      <c r="B76" s="65" t="s">
        <v>303</v>
      </c>
      <c r="C76" s="66"/>
      <c r="D76" s="67"/>
      <c r="E76" s="66"/>
      <c r="F76" s="69"/>
      <c r="G76" s="66"/>
      <c r="H76" s="70"/>
      <c r="I76" s="71"/>
      <c r="J76" s="71"/>
      <c r="K76" s="35" t="s">
        <v>65</v>
      </c>
      <c r="L76" s="72">
        <v>146</v>
      </c>
      <c r="M76" s="72"/>
      <c r="N76" s="73"/>
      <c r="O76" s="80" t="s">
        <v>196</v>
      </c>
      <c r="P76" s="82">
        <v>44478.69236111111</v>
      </c>
      <c r="Q76" s="80" t="s">
        <v>453</v>
      </c>
      <c r="R76" s="85" t="str">
        <f>HYPERLINK("https://vegnews.com/2021/10/ashton-kutcher-cell-based-meat?utm_campaign=meetedgar&amp;utm_medium=social&amp;utm_source=meetedgar.com")</f>
        <v>https://vegnews.com/2021/10/ashton-kutcher-cell-based-meat?utm_campaign=meetedgar&amp;utm_medium=social&amp;utm_source=meetedgar.com</v>
      </c>
      <c r="S76" s="80" t="s">
        <v>532</v>
      </c>
      <c r="T76" s="80"/>
      <c r="U76" s="80"/>
      <c r="V76" s="85" t="str">
        <f>HYPERLINK("https://pbs.twimg.com/profile_images/1189786051981795328/Yq32o3Co_normal.jpg")</f>
        <v>https://pbs.twimg.com/profile_images/1189786051981795328/Yq32o3Co_normal.jpg</v>
      </c>
      <c r="W76" s="82">
        <v>44478.69236111111</v>
      </c>
      <c r="X76" s="87">
        <v>44478</v>
      </c>
      <c r="Y76" s="83" t="s">
        <v>640</v>
      </c>
      <c r="Z76" s="85" t="str">
        <f>HYPERLINK("https://twitter.com/reginabanali/status/1446877367541116932")</f>
        <v>https://twitter.com/reginabanali/status/1446877367541116932</v>
      </c>
      <c r="AA76" s="80"/>
      <c r="AB76" s="80"/>
      <c r="AC76" s="83" t="s">
        <v>823</v>
      </c>
      <c r="AD76" s="80"/>
      <c r="AE76" s="80" t="b">
        <v>0</v>
      </c>
      <c r="AF76" s="80">
        <v>0</v>
      </c>
      <c r="AG76" s="83" t="s">
        <v>952</v>
      </c>
      <c r="AH76" s="80" t="b">
        <v>0</v>
      </c>
      <c r="AI76" s="80" t="s">
        <v>967</v>
      </c>
      <c r="AJ76" s="80"/>
      <c r="AK76" s="83" t="s">
        <v>952</v>
      </c>
      <c r="AL76" s="80" t="b">
        <v>0</v>
      </c>
      <c r="AM76" s="80">
        <v>0</v>
      </c>
      <c r="AN76" s="83" t="s">
        <v>952</v>
      </c>
      <c r="AO76" s="83" t="s">
        <v>988</v>
      </c>
      <c r="AP76" s="80" t="b">
        <v>0</v>
      </c>
      <c r="AQ76" s="83" t="s">
        <v>823</v>
      </c>
      <c r="AR76" s="80" t="s">
        <v>196</v>
      </c>
      <c r="AS76" s="80">
        <v>0</v>
      </c>
      <c r="AT76" s="80">
        <v>0</v>
      </c>
      <c r="AU76" s="80"/>
      <c r="AV76" s="80"/>
      <c r="AW76" s="80"/>
      <c r="AX76" s="80"/>
      <c r="AY76" s="80"/>
      <c r="AZ76" s="80"/>
      <c r="BA76" s="80"/>
      <c r="BB76" s="80"/>
      <c r="BC76">
        <v>1</v>
      </c>
      <c r="BD76" s="79" t="str">
        <f>REPLACE(INDEX(GroupVertices[Group],MATCH(Edges25[[#This Row],[Vertex 1]],GroupVertices[Vertex],0)),1,1,"")</f>
        <v>2</v>
      </c>
      <c r="BE76" s="79" t="str">
        <f>REPLACE(INDEX(GroupVertices[Group],MATCH(Edges25[[#This Row],[Vertex 2]],GroupVertices[Vertex],0)),1,1,"")</f>
        <v>2</v>
      </c>
      <c r="BF76" s="49">
        <v>0</v>
      </c>
      <c r="BG76" s="50">
        <v>0</v>
      </c>
      <c r="BH76" s="49">
        <v>0</v>
      </c>
      <c r="BI76" s="50">
        <v>0</v>
      </c>
      <c r="BJ76" s="49">
        <v>0</v>
      </c>
      <c r="BK76" s="50">
        <v>0</v>
      </c>
      <c r="BL76" s="49">
        <v>11</v>
      </c>
      <c r="BM76" s="50">
        <v>100</v>
      </c>
      <c r="BN76" s="49">
        <v>11</v>
      </c>
    </row>
    <row r="77" spans="1:66" ht="15">
      <c r="A77" s="65" t="s">
        <v>304</v>
      </c>
      <c r="B77" s="65" t="s">
        <v>361</v>
      </c>
      <c r="C77" s="66"/>
      <c r="D77" s="67"/>
      <c r="E77" s="66"/>
      <c r="F77" s="69"/>
      <c r="G77" s="66"/>
      <c r="H77" s="70"/>
      <c r="I77" s="71"/>
      <c r="J77" s="71"/>
      <c r="K77" s="35" t="s">
        <v>65</v>
      </c>
      <c r="L77" s="72">
        <v>147</v>
      </c>
      <c r="M77" s="72"/>
      <c r="N77" s="73"/>
      <c r="O77" s="80" t="s">
        <v>407</v>
      </c>
      <c r="P77" s="82">
        <v>44478.803298611114</v>
      </c>
      <c r="Q77" s="80" t="s">
        <v>454</v>
      </c>
      <c r="R77" s="85" t="str">
        <f>HYPERLINK("https://vegnews.com/2021/10/ashton-kutcher-cell-based-meat")</f>
        <v>https://vegnews.com/2021/10/ashton-kutcher-cell-based-meat</v>
      </c>
      <c r="S77" s="80" t="s">
        <v>532</v>
      </c>
      <c r="T77" s="83" t="s">
        <v>558</v>
      </c>
      <c r="U77" s="80"/>
      <c r="V77" s="85" t="str">
        <f>HYPERLINK("https://pbs.twimg.com/profile_images/1062606485388230656/HKxQrNsP_normal.jpg")</f>
        <v>https://pbs.twimg.com/profile_images/1062606485388230656/HKxQrNsP_normal.jpg</v>
      </c>
      <c r="W77" s="82">
        <v>44478.803298611114</v>
      </c>
      <c r="X77" s="87">
        <v>44478</v>
      </c>
      <c r="Y77" s="83" t="s">
        <v>641</v>
      </c>
      <c r="Z77" s="85" t="str">
        <f>HYPERLINK("https://twitter.com/ale6altrove/status/1446917569018056705")</f>
        <v>https://twitter.com/ale6altrove/status/1446917569018056705</v>
      </c>
      <c r="AA77" s="80"/>
      <c r="AB77" s="80"/>
      <c r="AC77" s="83" t="s">
        <v>824</v>
      </c>
      <c r="AD77" s="80"/>
      <c r="AE77" s="80" t="b">
        <v>0</v>
      </c>
      <c r="AF77" s="80">
        <v>0</v>
      </c>
      <c r="AG77" s="83" t="s">
        <v>952</v>
      </c>
      <c r="AH77" s="80" t="b">
        <v>0</v>
      </c>
      <c r="AI77" s="80" t="s">
        <v>967</v>
      </c>
      <c r="AJ77" s="80"/>
      <c r="AK77" s="83" t="s">
        <v>952</v>
      </c>
      <c r="AL77" s="80" t="b">
        <v>0</v>
      </c>
      <c r="AM77" s="80">
        <v>6</v>
      </c>
      <c r="AN77" s="83" t="s">
        <v>931</v>
      </c>
      <c r="AO77" s="83" t="s">
        <v>976</v>
      </c>
      <c r="AP77" s="80" t="b">
        <v>0</v>
      </c>
      <c r="AQ77" s="83" t="s">
        <v>931</v>
      </c>
      <c r="AR77" s="80" t="s">
        <v>196</v>
      </c>
      <c r="AS77" s="80">
        <v>0</v>
      </c>
      <c r="AT77" s="80">
        <v>0</v>
      </c>
      <c r="AU77" s="80"/>
      <c r="AV77" s="80"/>
      <c r="AW77" s="80"/>
      <c r="AX77" s="80"/>
      <c r="AY77" s="80"/>
      <c r="AZ77" s="80"/>
      <c r="BA77" s="80"/>
      <c r="BB77" s="80"/>
      <c r="BC77">
        <v>1</v>
      </c>
      <c r="BD77" s="79" t="str">
        <f>REPLACE(INDEX(GroupVertices[Group],MATCH(Edges25[[#This Row],[Vertex 1]],GroupVertices[Vertex],0)),1,1,"")</f>
        <v>4</v>
      </c>
      <c r="BE77" s="79" t="str">
        <f>REPLACE(INDEX(GroupVertices[Group],MATCH(Edges25[[#This Row],[Vertex 2]],GroupVertices[Vertex],0)),1,1,"")</f>
        <v>4</v>
      </c>
      <c r="BF77" s="49"/>
      <c r="BG77" s="50"/>
      <c r="BH77" s="49"/>
      <c r="BI77" s="50"/>
      <c r="BJ77" s="49"/>
      <c r="BK77" s="50"/>
      <c r="BL77" s="49"/>
      <c r="BM77" s="50"/>
      <c r="BN77" s="49"/>
    </row>
    <row r="78" spans="1:66" ht="15">
      <c r="A78" s="65" t="s">
        <v>305</v>
      </c>
      <c r="B78" s="65" t="s">
        <v>361</v>
      </c>
      <c r="C78" s="66"/>
      <c r="D78" s="67"/>
      <c r="E78" s="66"/>
      <c r="F78" s="69"/>
      <c r="G78" s="66"/>
      <c r="H78" s="70"/>
      <c r="I78" s="71"/>
      <c r="J78" s="71"/>
      <c r="K78" s="35" t="s">
        <v>65</v>
      </c>
      <c r="L78" s="72">
        <v>150</v>
      </c>
      <c r="M78" s="72"/>
      <c r="N78" s="73"/>
      <c r="O78" s="80" t="s">
        <v>407</v>
      </c>
      <c r="P78" s="82">
        <v>44478.80850694444</v>
      </c>
      <c r="Q78" s="80" t="s">
        <v>454</v>
      </c>
      <c r="R78" s="85" t="str">
        <f>HYPERLINK("https://vegnews.com/2021/10/ashton-kutcher-cell-based-meat")</f>
        <v>https://vegnews.com/2021/10/ashton-kutcher-cell-based-meat</v>
      </c>
      <c r="S78" s="80" t="s">
        <v>532</v>
      </c>
      <c r="T78" s="83" t="s">
        <v>558</v>
      </c>
      <c r="U78" s="80"/>
      <c r="V78" s="85" t="str">
        <f>HYPERLINK("https://pbs.twimg.com/profile_images/1310579955814862850/zkg07N2g_normal.jpg")</f>
        <v>https://pbs.twimg.com/profile_images/1310579955814862850/zkg07N2g_normal.jpg</v>
      </c>
      <c r="W78" s="82">
        <v>44478.80850694444</v>
      </c>
      <c r="X78" s="87">
        <v>44478</v>
      </c>
      <c r="Y78" s="83" t="s">
        <v>642</v>
      </c>
      <c r="Z78" s="85" t="str">
        <f>HYPERLINK("https://twitter.com/pepe_nature/status/1446919457398460420")</f>
        <v>https://twitter.com/pepe_nature/status/1446919457398460420</v>
      </c>
      <c r="AA78" s="80"/>
      <c r="AB78" s="80"/>
      <c r="AC78" s="83" t="s">
        <v>825</v>
      </c>
      <c r="AD78" s="80"/>
      <c r="AE78" s="80" t="b">
        <v>0</v>
      </c>
      <c r="AF78" s="80">
        <v>0</v>
      </c>
      <c r="AG78" s="83" t="s">
        <v>952</v>
      </c>
      <c r="AH78" s="80" t="b">
        <v>0</v>
      </c>
      <c r="AI78" s="80" t="s">
        <v>967</v>
      </c>
      <c r="AJ78" s="80"/>
      <c r="AK78" s="83" t="s">
        <v>952</v>
      </c>
      <c r="AL78" s="80" t="b">
        <v>0</v>
      </c>
      <c r="AM78" s="80">
        <v>6</v>
      </c>
      <c r="AN78" s="83" t="s">
        <v>931</v>
      </c>
      <c r="AO78" s="83" t="s">
        <v>979</v>
      </c>
      <c r="AP78" s="80" t="b">
        <v>0</v>
      </c>
      <c r="AQ78" s="83" t="s">
        <v>931</v>
      </c>
      <c r="AR78" s="80" t="s">
        <v>196</v>
      </c>
      <c r="AS78" s="80">
        <v>0</v>
      </c>
      <c r="AT78" s="80">
        <v>0</v>
      </c>
      <c r="AU78" s="80"/>
      <c r="AV78" s="80"/>
      <c r="AW78" s="80"/>
      <c r="AX78" s="80"/>
      <c r="AY78" s="80"/>
      <c r="AZ78" s="80"/>
      <c r="BA78" s="80"/>
      <c r="BB78" s="80"/>
      <c r="BC78">
        <v>1</v>
      </c>
      <c r="BD78" s="79" t="str">
        <f>REPLACE(INDEX(GroupVertices[Group],MATCH(Edges25[[#This Row],[Vertex 1]],GroupVertices[Vertex],0)),1,1,"")</f>
        <v>4</v>
      </c>
      <c r="BE78" s="79" t="str">
        <f>REPLACE(INDEX(GroupVertices[Group],MATCH(Edges25[[#This Row],[Vertex 2]],GroupVertices[Vertex],0)),1,1,"")</f>
        <v>4</v>
      </c>
      <c r="BF78" s="49"/>
      <c r="BG78" s="50"/>
      <c r="BH78" s="49"/>
      <c r="BI78" s="50"/>
      <c r="BJ78" s="49"/>
      <c r="BK78" s="50"/>
      <c r="BL78" s="49"/>
      <c r="BM78" s="50"/>
      <c r="BN78" s="49"/>
    </row>
    <row r="79" spans="1:66" ht="15">
      <c r="A79" s="65" t="s">
        <v>306</v>
      </c>
      <c r="B79" s="65" t="s">
        <v>377</v>
      </c>
      <c r="C79" s="66"/>
      <c r="D79" s="67"/>
      <c r="E79" s="66"/>
      <c r="F79" s="69"/>
      <c r="G79" s="66"/>
      <c r="H79" s="70"/>
      <c r="I79" s="71"/>
      <c r="J79" s="71"/>
      <c r="K79" s="35" t="s">
        <v>65</v>
      </c>
      <c r="L79" s="72">
        <v>153</v>
      </c>
      <c r="M79" s="72"/>
      <c r="N79" s="73"/>
      <c r="O79" s="80" t="s">
        <v>407</v>
      </c>
      <c r="P79" s="82">
        <v>44478.96078703704</v>
      </c>
      <c r="Q79" s="80" t="s">
        <v>455</v>
      </c>
      <c r="R79"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79" s="80" t="s">
        <v>535</v>
      </c>
      <c r="T79" s="80"/>
      <c r="U79" s="80"/>
      <c r="V79" s="85" t="str">
        <f>HYPERLINK("https://pbs.twimg.com/profile_images/1134927635258195969/Nq76xWb4_normal.png")</f>
        <v>https://pbs.twimg.com/profile_images/1134927635258195969/Nq76xWb4_normal.png</v>
      </c>
      <c r="W79" s="82">
        <v>44478.96078703704</v>
      </c>
      <c r="X79" s="87">
        <v>44478</v>
      </c>
      <c r="Y79" s="83" t="s">
        <v>643</v>
      </c>
      <c r="Z79" s="85" t="str">
        <f>HYPERLINK("https://twitter.com/sdelagrave/status/1446974642279833603")</f>
        <v>https://twitter.com/sdelagrave/status/1446974642279833603</v>
      </c>
      <c r="AA79" s="80"/>
      <c r="AB79" s="80"/>
      <c r="AC79" s="83" t="s">
        <v>826</v>
      </c>
      <c r="AD79" s="80"/>
      <c r="AE79" s="80" t="b">
        <v>0</v>
      </c>
      <c r="AF79" s="80">
        <v>0</v>
      </c>
      <c r="AG79" s="83" t="s">
        <v>952</v>
      </c>
      <c r="AH79" s="80" t="b">
        <v>0</v>
      </c>
      <c r="AI79" s="80" t="s">
        <v>967</v>
      </c>
      <c r="AJ79" s="80"/>
      <c r="AK79" s="83" t="s">
        <v>952</v>
      </c>
      <c r="AL79" s="80" t="b">
        <v>0</v>
      </c>
      <c r="AM79" s="80">
        <v>1</v>
      </c>
      <c r="AN79" s="83" t="s">
        <v>900</v>
      </c>
      <c r="AO79" s="83" t="s">
        <v>976</v>
      </c>
      <c r="AP79" s="80" t="b">
        <v>0</v>
      </c>
      <c r="AQ79" s="83" t="s">
        <v>900</v>
      </c>
      <c r="AR79" s="80" t="s">
        <v>196</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9"/>
      <c r="BG79" s="50"/>
      <c r="BH79" s="49"/>
      <c r="BI79" s="50"/>
      <c r="BJ79" s="49"/>
      <c r="BK79" s="50"/>
      <c r="BL79" s="49"/>
      <c r="BM79" s="50"/>
      <c r="BN79" s="49"/>
    </row>
    <row r="80" spans="1:66" ht="15">
      <c r="A80" s="65" t="s">
        <v>307</v>
      </c>
      <c r="B80" s="65" t="s">
        <v>389</v>
      </c>
      <c r="C80" s="66"/>
      <c r="D80" s="67"/>
      <c r="E80" s="66"/>
      <c r="F80" s="69"/>
      <c r="G80" s="66"/>
      <c r="H80" s="70"/>
      <c r="I80" s="71"/>
      <c r="J80" s="71"/>
      <c r="K80" s="35" t="s">
        <v>65</v>
      </c>
      <c r="L80" s="72">
        <v>157</v>
      </c>
      <c r="M80" s="72"/>
      <c r="N80" s="73"/>
      <c r="O80" s="80" t="s">
        <v>406</v>
      </c>
      <c r="P80" s="82">
        <v>44478.13993055555</v>
      </c>
      <c r="Q80" s="80" t="s">
        <v>451</v>
      </c>
      <c r="R80" s="85" t="str">
        <f>HYPERLINK("https://www.linkedin.com/pulse/gfis-attempt-dismiss-counter-story-cell-based-meat-paul-wood-ao")</f>
        <v>https://www.linkedin.com/pulse/gfis-attempt-dismiss-counter-story-cell-based-meat-paul-wood-ao</v>
      </c>
      <c r="S80" s="80" t="s">
        <v>522</v>
      </c>
      <c r="T80" s="80"/>
      <c r="U80" s="80"/>
      <c r="V80" s="85" t="str">
        <f>HYPERLINK("https://pbs.twimg.com/profile_images/707096446005170176/qy74n7N3_normal.jpg")</f>
        <v>https://pbs.twimg.com/profile_images/707096446005170176/qy74n7N3_normal.jpg</v>
      </c>
      <c r="W80" s="82">
        <v>44478.13993055555</v>
      </c>
      <c r="X80" s="87">
        <v>44478</v>
      </c>
      <c r="Y80" s="83" t="s">
        <v>644</v>
      </c>
      <c r="Z80" s="85" t="str">
        <f>HYPERLINK("https://twitter.com/paulwood1508/status/1446677173750796289")</f>
        <v>https://twitter.com/paulwood1508/status/1446677173750796289</v>
      </c>
      <c r="AA80" s="80"/>
      <c r="AB80" s="80"/>
      <c r="AC80" s="83" t="s">
        <v>827</v>
      </c>
      <c r="AD80" s="80"/>
      <c r="AE80" s="80" t="b">
        <v>0</v>
      </c>
      <c r="AF80" s="80">
        <v>1</v>
      </c>
      <c r="AG80" s="83" t="s">
        <v>952</v>
      </c>
      <c r="AH80" s="80" t="b">
        <v>0</v>
      </c>
      <c r="AI80" s="80" t="s">
        <v>967</v>
      </c>
      <c r="AJ80" s="80"/>
      <c r="AK80" s="83" t="s">
        <v>952</v>
      </c>
      <c r="AL80" s="80" t="b">
        <v>0</v>
      </c>
      <c r="AM80" s="80">
        <v>1</v>
      </c>
      <c r="AN80" s="83" t="s">
        <v>952</v>
      </c>
      <c r="AO80" s="83" t="s">
        <v>972</v>
      </c>
      <c r="AP80" s="80" t="b">
        <v>0</v>
      </c>
      <c r="AQ80" s="83" t="s">
        <v>827</v>
      </c>
      <c r="AR80" s="80" t="s">
        <v>196</v>
      </c>
      <c r="AS80" s="80">
        <v>0</v>
      </c>
      <c r="AT80" s="80">
        <v>0</v>
      </c>
      <c r="AU80" s="80"/>
      <c r="AV80" s="80"/>
      <c r="AW80" s="80"/>
      <c r="AX80" s="80"/>
      <c r="AY80" s="80"/>
      <c r="AZ80" s="80"/>
      <c r="BA80" s="80"/>
      <c r="BB80" s="80"/>
      <c r="BC80">
        <v>1</v>
      </c>
      <c r="BD80" s="79" t="str">
        <f>REPLACE(INDEX(GroupVertices[Group],MATCH(Edges25[[#This Row],[Vertex 1]],GroupVertices[Vertex],0)),1,1,"")</f>
        <v>8</v>
      </c>
      <c r="BE80" s="79" t="str">
        <f>REPLACE(INDEX(GroupVertices[Group],MATCH(Edges25[[#This Row],[Vertex 2]],GroupVertices[Vertex],0)),1,1,"")</f>
        <v>8</v>
      </c>
      <c r="BF80" s="49">
        <v>0</v>
      </c>
      <c r="BG80" s="50">
        <v>0</v>
      </c>
      <c r="BH80" s="49">
        <v>0</v>
      </c>
      <c r="BI80" s="50">
        <v>0</v>
      </c>
      <c r="BJ80" s="49">
        <v>0</v>
      </c>
      <c r="BK80" s="50">
        <v>0</v>
      </c>
      <c r="BL80" s="49">
        <v>18</v>
      </c>
      <c r="BM80" s="50">
        <v>100</v>
      </c>
      <c r="BN80" s="49">
        <v>18</v>
      </c>
    </row>
    <row r="81" spans="1:66" ht="15">
      <c r="A81" s="65" t="s">
        <v>307</v>
      </c>
      <c r="B81" s="65" t="s">
        <v>391</v>
      </c>
      <c r="C81" s="66"/>
      <c r="D81" s="67"/>
      <c r="E81" s="66"/>
      <c r="F81" s="69"/>
      <c r="G81" s="66"/>
      <c r="H81" s="70"/>
      <c r="I81" s="71"/>
      <c r="J81" s="71"/>
      <c r="K81" s="35" t="s">
        <v>65</v>
      </c>
      <c r="L81" s="72">
        <v>158</v>
      </c>
      <c r="M81" s="72"/>
      <c r="N81" s="73"/>
      <c r="O81" s="80" t="s">
        <v>406</v>
      </c>
      <c r="P81" s="82">
        <v>44479.22484953704</v>
      </c>
      <c r="Q81" s="80" t="s">
        <v>456</v>
      </c>
      <c r="R81" s="80"/>
      <c r="S81" s="80"/>
      <c r="T81" s="80"/>
      <c r="U81" s="80"/>
      <c r="V81" s="85" t="str">
        <f>HYPERLINK("https://pbs.twimg.com/profile_images/707096446005170176/qy74n7N3_normal.jpg")</f>
        <v>https://pbs.twimg.com/profile_images/707096446005170176/qy74n7N3_normal.jpg</v>
      </c>
      <c r="W81" s="82">
        <v>44479.22484953704</v>
      </c>
      <c r="X81" s="87">
        <v>44479</v>
      </c>
      <c r="Y81" s="83" t="s">
        <v>645</v>
      </c>
      <c r="Z81" s="85" t="str">
        <f>HYPERLINK("https://twitter.com/paulwood1508/status/1447070331923886086")</f>
        <v>https://twitter.com/paulwood1508/status/1447070331923886086</v>
      </c>
      <c r="AA81" s="80"/>
      <c r="AB81" s="80"/>
      <c r="AC81" s="83" t="s">
        <v>828</v>
      </c>
      <c r="AD81" s="83" t="s">
        <v>942</v>
      </c>
      <c r="AE81" s="80" t="b">
        <v>0</v>
      </c>
      <c r="AF81" s="80">
        <v>1</v>
      </c>
      <c r="AG81" s="83" t="s">
        <v>959</v>
      </c>
      <c r="AH81" s="80" t="b">
        <v>0</v>
      </c>
      <c r="AI81" s="80" t="s">
        <v>967</v>
      </c>
      <c r="AJ81" s="80"/>
      <c r="AK81" s="83" t="s">
        <v>952</v>
      </c>
      <c r="AL81" s="80" t="b">
        <v>0</v>
      </c>
      <c r="AM81" s="80">
        <v>0</v>
      </c>
      <c r="AN81" s="83" t="s">
        <v>952</v>
      </c>
      <c r="AO81" s="83" t="s">
        <v>972</v>
      </c>
      <c r="AP81" s="80" t="b">
        <v>0</v>
      </c>
      <c r="AQ81" s="83" t="s">
        <v>942</v>
      </c>
      <c r="AR81" s="80" t="s">
        <v>196</v>
      </c>
      <c r="AS81" s="80">
        <v>0</v>
      </c>
      <c r="AT81" s="80">
        <v>0</v>
      </c>
      <c r="AU81" s="80"/>
      <c r="AV81" s="80"/>
      <c r="AW81" s="80"/>
      <c r="AX81" s="80"/>
      <c r="AY81" s="80"/>
      <c r="AZ81" s="80"/>
      <c r="BA81" s="80"/>
      <c r="BB81" s="80"/>
      <c r="BC81">
        <v>1</v>
      </c>
      <c r="BD81" s="79" t="str">
        <f>REPLACE(INDEX(GroupVertices[Group],MATCH(Edges25[[#This Row],[Vertex 1]],GroupVertices[Vertex],0)),1,1,"")</f>
        <v>8</v>
      </c>
      <c r="BE81" s="79" t="str">
        <f>REPLACE(INDEX(GroupVertices[Group],MATCH(Edges25[[#This Row],[Vertex 2]],GroupVertices[Vertex],0)),1,1,"")</f>
        <v>8</v>
      </c>
      <c r="BF81" s="49"/>
      <c r="BG81" s="50"/>
      <c r="BH81" s="49"/>
      <c r="BI81" s="50"/>
      <c r="BJ81" s="49"/>
      <c r="BK81" s="50"/>
      <c r="BL81" s="49"/>
      <c r="BM81" s="50"/>
      <c r="BN81" s="49"/>
    </row>
    <row r="82" spans="1:66" ht="15">
      <c r="A82" s="65" t="s">
        <v>308</v>
      </c>
      <c r="B82" s="65" t="s">
        <v>361</v>
      </c>
      <c r="C82" s="66"/>
      <c r="D82" s="67"/>
      <c r="E82" s="66"/>
      <c r="F82" s="69"/>
      <c r="G82" s="66"/>
      <c r="H82" s="70"/>
      <c r="I82" s="71"/>
      <c r="J82" s="71"/>
      <c r="K82" s="35" t="s">
        <v>65</v>
      </c>
      <c r="L82" s="72">
        <v>161</v>
      </c>
      <c r="M82" s="72"/>
      <c r="N82" s="73"/>
      <c r="O82" s="80" t="s">
        <v>407</v>
      </c>
      <c r="P82" s="82">
        <v>44479.252384259256</v>
      </c>
      <c r="Q82" s="80" t="s">
        <v>454</v>
      </c>
      <c r="R82" s="85" t="str">
        <f>HYPERLINK("https://vegnews.com/2021/10/ashton-kutcher-cell-based-meat")</f>
        <v>https://vegnews.com/2021/10/ashton-kutcher-cell-based-meat</v>
      </c>
      <c r="S82" s="80" t="s">
        <v>532</v>
      </c>
      <c r="T82" s="83" t="s">
        <v>558</v>
      </c>
      <c r="U82" s="80"/>
      <c r="V82" s="85" t="str">
        <f>HYPERLINK("https://pbs.twimg.com/profile_images/523095595616329728/_pnP48fE_normal.jpeg")</f>
        <v>https://pbs.twimg.com/profile_images/523095595616329728/_pnP48fE_normal.jpeg</v>
      </c>
      <c r="W82" s="82">
        <v>44479.252384259256</v>
      </c>
      <c r="X82" s="87">
        <v>44479</v>
      </c>
      <c r="Y82" s="83" t="s">
        <v>646</v>
      </c>
      <c r="Z82" s="85" t="str">
        <f>HYPERLINK("https://twitter.com/carlokarl/status/1447080313717497858")</f>
        <v>https://twitter.com/carlokarl/status/1447080313717497858</v>
      </c>
      <c r="AA82" s="80"/>
      <c r="AB82" s="80"/>
      <c r="AC82" s="83" t="s">
        <v>829</v>
      </c>
      <c r="AD82" s="80"/>
      <c r="AE82" s="80" t="b">
        <v>0</v>
      </c>
      <c r="AF82" s="80">
        <v>0</v>
      </c>
      <c r="AG82" s="83" t="s">
        <v>952</v>
      </c>
      <c r="AH82" s="80" t="b">
        <v>0</v>
      </c>
      <c r="AI82" s="80" t="s">
        <v>967</v>
      </c>
      <c r="AJ82" s="80"/>
      <c r="AK82" s="83" t="s">
        <v>952</v>
      </c>
      <c r="AL82" s="80" t="b">
        <v>0</v>
      </c>
      <c r="AM82" s="80">
        <v>6</v>
      </c>
      <c r="AN82" s="83" t="s">
        <v>931</v>
      </c>
      <c r="AO82" s="83" t="s">
        <v>979</v>
      </c>
      <c r="AP82" s="80" t="b">
        <v>0</v>
      </c>
      <c r="AQ82" s="83" t="s">
        <v>931</v>
      </c>
      <c r="AR82" s="80" t="s">
        <v>196</v>
      </c>
      <c r="AS82" s="80">
        <v>0</v>
      </c>
      <c r="AT82" s="80">
        <v>0</v>
      </c>
      <c r="AU82" s="80"/>
      <c r="AV82" s="80"/>
      <c r="AW82" s="80"/>
      <c r="AX82" s="80"/>
      <c r="AY82" s="80"/>
      <c r="AZ82" s="80"/>
      <c r="BA82" s="80"/>
      <c r="BB82" s="80"/>
      <c r="BC82">
        <v>1</v>
      </c>
      <c r="BD82" s="79" t="str">
        <f>REPLACE(INDEX(GroupVertices[Group],MATCH(Edges25[[#This Row],[Vertex 1]],GroupVertices[Vertex],0)),1,1,"")</f>
        <v>4</v>
      </c>
      <c r="BE82" s="79" t="str">
        <f>REPLACE(INDEX(GroupVertices[Group],MATCH(Edges25[[#This Row],[Vertex 2]],GroupVertices[Vertex],0)),1,1,"")</f>
        <v>4</v>
      </c>
      <c r="BF82" s="49"/>
      <c r="BG82" s="50"/>
      <c r="BH82" s="49"/>
      <c r="BI82" s="50"/>
      <c r="BJ82" s="49"/>
      <c r="BK82" s="50"/>
      <c r="BL82" s="49"/>
      <c r="BM82" s="50"/>
      <c r="BN82" s="49"/>
    </row>
    <row r="83" spans="1:66" ht="15">
      <c r="A83" s="65" t="s">
        <v>309</v>
      </c>
      <c r="B83" s="65" t="s">
        <v>309</v>
      </c>
      <c r="C83" s="66"/>
      <c r="D83" s="67"/>
      <c r="E83" s="66"/>
      <c r="F83" s="69"/>
      <c r="G83" s="66"/>
      <c r="H83" s="70"/>
      <c r="I83" s="71"/>
      <c r="J83" s="71"/>
      <c r="K83" s="35" t="s">
        <v>65</v>
      </c>
      <c r="L83" s="72">
        <v>164</v>
      </c>
      <c r="M83" s="72"/>
      <c r="N83" s="73"/>
      <c r="O83" s="80" t="s">
        <v>196</v>
      </c>
      <c r="P83" s="82">
        <v>44479.27074074074</v>
      </c>
      <c r="Q83" s="80" t="s">
        <v>457</v>
      </c>
      <c r="R83" s="80"/>
      <c r="S83" s="80"/>
      <c r="T83" s="80"/>
      <c r="U83" s="80"/>
      <c r="V83" s="85" t="str">
        <f>HYPERLINK("https://pbs.twimg.com/profile_images/762787443305132032/VUiES7w9_normal.jpg")</f>
        <v>https://pbs.twimg.com/profile_images/762787443305132032/VUiES7w9_normal.jpg</v>
      </c>
      <c r="W83" s="82">
        <v>44479.27074074074</v>
      </c>
      <c r="X83" s="87">
        <v>44479</v>
      </c>
      <c r="Y83" s="83" t="s">
        <v>647</v>
      </c>
      <c r="Z83" s="85" t="str">
        <f>HYPERLINK("https://twitter.com/upcells/status/1447086965740826626")</f>
        <v>https://twitter.com/upcells/status/1447086965740826626</v>
      </c>
      <c r="AA83" s="80"/>
      <c r="AB83" s="80"/>
      <c r="AC83" s="83" t="s">
        <v>830</v>
      </c>
      <c r="AD83" s="83" t="s">
        <v>943</v>
      </c>
      <c r="AE83" s="80" t="b">
        <v>0</v>
      </c>
      <c r="AF83" s="80">
        <v>6</v>
      </c>
      <c r="AG83" s="83" t="s">
        <v>960</v>
      </c>
      <c r="AH83" s="80" t="b">
        <v>0</v>
      </c>
      <c r="AI83" s="80" t="s">
        <v>967</v>
      </c>
      <c r="AJ83" s="80"/>
      <c r="AK83" s="83" t="s">
        <v>952</v>
      </c>
      <c r="AL83" s="80" t="b">
        <v>0</v>
      </c>
      <c r="AM83" s="80">
        <v>1</v>
      </c>
      <c r="AN83" s="83" t="s">
        <v>952</v>
      </c>
      <c r="AO83" s="83" t="s">
        <v>972</v>
      </c>
      <c r="AP83" s="80" t="b">
        <v>0</v>
      </c>
      <c r="AQ83" s="83" t="s">
        <v>943</v>
      </c>
      <c r="AR83" s="80" t="s">
        <v>196</v>
      </c>
      <c r="AS83" s="80">
        <v>0</v>
      </c>
      <c r="AT83" s="80">
        <v>0</v>
      </c>
      <c r="AU83" s="80"/>
      <c r="AV83" s="80"/>
      <c r="AW83" s="80"/>
      <c r="AX83" s="80"/>
      <c r="AY83" s="80"/>
      <c r="AZ83" s="80"/>
      <c r="BA83" s="80"/>
      <c r="BB83" s="80"/>
      <c r="BC83">
        <v>2</v>
      </c>
      <c r="BD83" s="79" t="str">
        <f>REPLACE(INDEX(GroupVertices[Group],MATCH(Edges25[[#This Row],[Vertex 1]],GroupVertices[Vertex],0)),1,1,"")</f>
        <v>18</v>
      </c>
      <c r="BE83" s="79" t="str">
        <f>REPLACE(INDEX(GroupVertices[Group],MATCH(Edges25[[#This Row],[Vertex 2]],GroupVertices[Vertex],0)),1,1,"")</f>
        <v>18</v>
      </c>
      <c r="BF83" s="49">
        <v>1</v>
      </c>
      <c r="BG83" s="50">
        <v>3.225806451612903</v>
      </c>
      <c r="BH83" s="49">
        <v>0</v>
      </c>
      <c r="BI83" s="50">
        <v>0</v>
      </c>
      <c r="BJ83" s="49">
        <v>0</v>
      </c>
      <c r="BK83" s="50">
        <v>0</v>
      </c>
      <c r="BL83" s="49">
        <v>30</v>
      </c>
      <c r="BM83" s="50">
        <v>96.7741935483871</v>
      </c>
      <c r="BN83" s="49">
        <v>31</v>
      </c>
    </row>
    <row r="84" spans="1:66" ht="15">
      <c r="A84" s="65" t="s">
        <v>309</v>
      </c>
      <c r="B84" s="65" t="s">
        <v>309</v>
      </c>
      <c r="C84" s="66"/>
      <c r="D84" s="67"/>
      <c r="E84" s="66"/>
      <c r="F84" s="69"/>
      <c r="G84" s="66"/>
      <c r="H84" s="70"/>
      <c r="I84" s="71"/>
      <c r="J84" s="71"/>
      <c r="K84" s="35" t="s">
        <v>65</v>
      </c>
      <c r="L84" s="72">
        <v>165</v>
      </c>
      <c r="M84" s="72"/>
      <c r="N84" s="73"/>
      <c r="O84" s="80" t="s">
        <v>196</v>
      </c>
      <c r="P84" s="82">
        <v>44479.279386574075</v>
      </c>
      <c r="Q84" s="80" t="s">
        <v>458</v>
      </c>
      <c r="R84" s="80"/>
      <c r="S84" s="80"/>
      <c r="T84" s="80"/>
      <c r="U84" s="80"/>
      <c r="V84" s="85" t="str">
        <f>HYPERLINK("https://pbs.twimg.com/profile_images/762787443305132032/VUiES7w9_normal.jpg")</f>
        <v>https://pbs.twimg.com/profile_images/762787443305132032/VUiES7w9_normal.jpg</v>
      </c>
      <c r="W84" s="82">
        <v>44479.279386574075</v>
      </c>
      <c r="X84" s="87">
        <v>44479</v>
      </c>
      <c r="Y84" s="83" t="s">
        <v>648</v>
      </c>
      <c r="Z84" s="85" t="str">
        <f>HYPERLINK("https://twitter.com/upcells/status/1447090098625925122")</f>
        <v>https://twitter.com/upcells/status/1447090098625925122</v>
      </c>
      <c r="AA84" s="80"/>
      <c r="AB84" s="80"/>
      <c r="AC84" s="83" t="s">
        <v>831</v>
      </c>
      <c r="AD84" s="83" t="s">
        <v>944</v>
      </c>
      <c r="AE84" s="80" t="b">
        <v>0</v>
      </c>
      <c r="AF84" s="80">
        <v>6</v>
      </c>
      <c r="AG84" s="83" t="s">
        <v>960</v>
      </c>
      <c r="AH84" s="80" t="b">
        <v>0</v>
      </c>
      <c r="AI84" s="80" t="s">
        <v>967</v>
      </c>
      <c r="AJ84" s="80"/>
      <c r="AK84" s="83" t="s">
        <v>952</v>
      </c>
      <c r="AL84" s="80" t="b">
        <v>0</v>
      </c>
      <c r="AM84" s="80">
        <v>1</v>
      </c>
      <c r="AN84" s="83" t="s">
        <v>952</v>
      </c>
      <c r="AO84" s="83" t="s">
        <v>972</v>
      </c>
      <c r="AP84" s="80" t="b">
        <v>0</v>
      </c>
      <c r="AQ84" s="83" t="s">
        <v>944</v>
      </c>
      <c r="AR84" s="80" t="s">
        <v>196</v>
      </c>
      <c r="AS84" s="80">
        <v>0</v>
      </c>
      <c r="AT84" s="80">
        <v>0</v>
      </c>
      <c r="AU84" s="80"/>
      <c r="AV84" s="80"/>
      <c r="AW84" s="80"/>
      <c r="AX84" s="80"/>
      <c r="AY84" s="80"/>
      <c r="AZ84" s="80"/>
      <c r="BA84" s="80"/>
      <c r="BB84" s="80"/>
      <c r="BC84">
        <v>2</v>
      </c>
      <c r="BD84" s="79" t="str">
        <f>REPLACE(INDEX(GroupVertices[Group],MATCH(Edges25[[#This Row],[Vertex 1]],GroupVertices[Vertex],0)),1,1,"")</f>
        <v>18</v>
      </c>
      <c r="BE84" s="79" t="str">
        <f>REPLACE(INDEX(GroupVertices[Group],MATCH(Edges25[[#This Row],[Vertex 2]],GroupVertices[Vertex],0)),1,1,"")</f>
        <v>18</v>
      </c>
      <c r="BF84" s="49">
        <v>3</v>
      </c>
      <c r="BG84" s="50">
        <v>6.666666666666667</v>
      </c>
      <c r="BH84" s="49">
        <v>0</v>
      </c>
      <c r="BI84" s="50">
        <v>0</v>
      </c>
      <c r="BJ84" s="49">
        <v>0</v>
      </c>
      <c r="BK84" s="50">
        <v>0</v>
      </c>
      <c r="BL84" s="49">
        <v>42</v>
      </c>
      <c r="BM84" s="50">
        <v>93.33333333333333</v>
      </c>
      <c r="BN84" s="49">
        <v>45</v>
      </c>
    </row>
    <row r="85" spans="1:66" ht="15">
      <c r="A85" s="65" t="s">
        <v>310</v>
      </c>
      <c r="B85" s="65" t="s">
        <v>309</v>
      </c>
      <c r="C85" s="66"/>
      <c r="D85" s="67"/>
      <c r="E85" s="66"/>
      <c r="F85" s="69"/>
      <c r="G85" s="66"/>
      <c r="H85" s="70"/>
      <c r="I85" s="71"/>
      <c r="J85" s="71"/>
      <c r="K85" s="35" t="s">
        <v>65</v>
      </c>
      <c r="L85" s="72">
        <v>166</v>
      </c>
      <c r="M85" s="72"/>
      <c r="N85" s="73"/>
      <c r="O85" s="80" t="s">
        <v>408</v>
      </c>
      <c r="P85" s="82">
        <v>44479.29454861111</v>
      </c>
      <c r="Q85" s="80" t="s">
        <v>457</v>
      </c>
      <c r="R85" s="80"/>
      <c r="S85" s="80"/>
      <c r="T85" s="80"/>
      <c r="U85" s="80"/>
      <c r="V85" s="85" t="str">
        <f>HYPERLINK("https://pbs.twimg.com/profile_images/1434785434509340681/s7DHMbZw_normal.jpg")</f>
        <v>https://pbs.twimg.com/profile_images/1434785434509340681/s7DHMbZw_normal.jpg</v>
      </c>
      <c r="W85" s="82">
        <v>44479.29454861111</v>
      </c>
      <c r="X85" s="87">
        <v>44479</v>
      </c>
      <c r="Y85" s="83" t="s">
        <v>649</v>
      </c>
      <c r="Z85" s="85" t="str">
        <f>HYPERLINK("https://twitter.com/hoycristel/status/1447095589947133953")</f>
        <v>https://twitter.com/hoycristel/status/1447095589947133953</v>
      </c>
      <c r="AA85" s="80"/>
      <c r="AB85" s="80"/>
      <c r="AC85" s="83" t="s">
        <v>832</v>
      </c>
      <c r="AD85" s="80"/>
      <c r="AE85" s="80" t="b">
        <v>0</v>
      </c>
      <c r="AF85" s="80">
        <v>0</v>
      </c>
      <c r="AG85" s="83" t="s">
        <v>952</v>
      </c>
      <c r="AH85" s="80" t="b">
        <v>0</v>
      </c>
      <c r="AI85" s="80" t="s">
        <v>967</v>
      </c>
      <c r="AJ85" s="80"/>
      <c r="AK85" s="83" t="s">
        <v>952</v>
      </c>
      <c r="AL85" s="80" t="b">
        <v>0</v>
      </c>
      <c r="AM85" s="80">
        <v>1</v>
      </c>
      <c r="AN85" s="83" t="s">
        <v>830</v>
      </c>
      <c r="AO85" s="83" t="s">
        <v>979</v>
      </c>
      <c r="AP85" s="80" t="b">
        <v>0</v>
      </c>
      <c r="AQ85" s="83" t="s">
        <v>830</v>
      </c>
      <c r="AR85" s="80" t="s">
        <v>196</v>
      </c>
      <c r="AS85" s="80">
        <v>0</v>
      </c>
      <c r="AT85" s="80">
        <v>0</v>
      </c>
      <c r="AU85" s="80"/>
      <c r="AV85" s="80"/>
      <c r="AW85" s="80"/>
      <c r="AX85" s="80"/>
      <c r="AY85" s="80"/>
      <c r="AZ85" s="80"/>
      <c r="BA85" s="80"/>
      <c r="BB85" s="80"/>
      <c r="BC85">
        <v>2</v>
      </c>
      <c r="BD85" s="79" t="str">
        <f>REPLACE(INDEX(GroupVertices[Group],MATCH(Edges25[[#This Row],[Vertex 1]],GroupVertices[Vertex],0)),1,1,"")</f>
        <v>18</v>
      </c>
      <c r="BE85" s="79" t="str">
        <f>REPLACE(INDEX(GroupVertices[Group],MATCH(Edges25[[#This Row],[Vertex 2]],GroupVertices[Vertex],0)),1,1,"")</f>
        <v>18</v>
      </c>
      <c r="BF85" s="49">
        <v>1</v>
      </c>
      <c r="BG85" s="50">
        <v>3.225806451612903</v>
      </c>
      <c r="BH85" s="49">
        <v>0</v>
      </c>
      <c r="BI85" s="50">
        <v>0</v>
      </c>
      <c r="BJ85" s="49">
        <v>0</v>
      </c>
      <c r="BK85" s="50">
        <v>0</v>
      </c>
      <c r="BL85" s="49">
        <v>30</v>
      </c>
      <c r="BM85" s="50">
        <v>96.7741935483871</v>
      </c>
      <c r="BN85" s="49">
        <v>31</v>
      </c>
    </row>
    <row r="86" spans="1:66" ht="15">
      <c r="A86" s="65" t="s">
        <v>310</v>
      </c>
      <c r="B86" s="65" t="s">
        <v>309</v>
      </c>
      <c r="C86" s="66"/>
      <c r="D86" s="67"/>
      <c r="E86" s="66"/>
      <c r="F86" s="69"/>
      <c r="G86" s="66"/>
      <c r="H86" s="70"/>
      <c r="I86" s="71"/>
      <c r="J86" s="71"/>
      <c r="K86" s="35" t="s">
        <v>65</v>
      </c>
      <c r="L86" s="72">
        <v>167</v>
      </c>
      <c r="M86" s="72"/>
      <c r="N86" s="73"/>
      <c r="O86" s="80" t="s">
        <v>408</v>
      </c>
      <c r="P86" s="82">
        <v>44479.29471064815</v>
      </c>
      <c r="Q86" s="80" t="s">
        <v>458</v>
      </c>
      <c r="R86" s="80"/>
      <c r="S86" s="80"/>
      <c r="T86" s="80"/>
      <c r="U86" s="80"/>
      <c r="V86" s="85" t="str">
        <f>HYPERLINK("https://pbs.twimg.com/profile_images/1434785434509340681/s7DHMbZw_normal.jpg")</f>
        <v>https://pbs.twimg.com/profile_images/1434785434509340681/s7DHMbZw_normal.jpg</v>
      </c>
      <c r="W86" s="82">
        <v>44479.29471064815</v>
      </c>
      <c r="X86" s="87">
        <v>44479</v>
      </c>
      <c r="Y86" s="83" t="s">
        <v>650</v>
      </c>
      <c r="Z86" s="85" t="str">
        <f>HYPERLINK("https://twitter.com/hoycristel/status/1447095648998723584")</f>
        <v>https://twitter.com/hoycristel/status/1447095648998723584</v>
      </c>
      <c r="AA86" s="80"/>
      <c r="AB86" s="80"/>
      <c r="AC86" s="83" t="s">
        <v>833</v>
      </c>
      <c r="AD86" s="80"/>
      <c r="AE86" s="80" t="b">
        <v>0</v>
      </c>
      <c r="AF86" s="80">
        <v>0</v>
      </c>
      <c r="AG86" s="83" t="s">
        <v>952</v>
      </c>
      <c r="AH86" s="80" t="b">
        <v>0</v>
      </c>
      <c r="AI86" s="80" t="s">
        <v>967</v>
      </c>
      <c r="AJ86" s="80"/>
      <c r="AK86" s="83" t="s">
        <v>952</v>
      </c>
      <c r="AL86" s="80" t="b">
        <v>0</v>
      </c>
      <c r="AM86" s="80">
        <v>1</v>
      </c>
      <c r="AN86" s="83" t="s">
        <v>831</v>
      </c>
      <c r="AO86" s="83" t="s">
        <v>979</v>
      </c>
      <c r="AP86" s="80" t="b">
        <v>0</v>
      </c>
      <c r="AQ86" s="83" t="s">
        <v>831</v>
      </c>
      <c r="AR86" s="80" t="s">
        <v>196</v>
      </c>
      <c r="AS86" s="80">
        <v>0</v>
      </c>
      <c r="AT86" s="80">
        <v>0</v>
      </c>
      <c r="AU86" s="80"/>
      <c r="AV86" s="80"/>
      <c r="AW86" s="80"/>
      <c r="AX86" s="80"/>
      <c r="AY86" s="80"/>
      <c r="AZ86" s="80"/>
      <c r="BA86" s="80"/>
      <c r="BB86" s="80"/>
      <c r="BC86">
        <v>2</v>
      </c>
      <c r="BD86" s="79" t="str">
        <f>REPLACE(INDEX(GroupVertices[Group],MATCH(Edges25[[#This Row],[Vertex 1]],GroupVertices[Vertex],0)),1,1,"")</f>
        <v>18</v>
      </c>
      <c r="BE86" s="79" t="str">
        <f>REPLACE(INDEX(GroupVertices[Group],MATCH(Edges25[[#This Row],[Vertex 2]],GroupVertices[Vertex],0)),1,1,"")</f>
        <v>18</v>
      </c>
      <c r="BF86" s="49">
        <v>3</v>
      </c>
      <c r="BG86" s="50">
        <v>6.666666666666667</v>
      </c>
      <c r="BH86" s="49">
        <v>0</v>
      </c>
      <c r="BI86" s="50">
        <v>0</v>
      </c>
      <c r="BJ86" s="49">
        <v>0</v>
      </c>
      <c r="BK86" s="50">
        <v>0</v>
      </c>
      <c r="BL86" s="49">
        <v>42</v>
      </c>
      <c r="BM86" s="50">
        <v>93.33333333333333</v>
      </c>
      <c r="BN86" s="49">
        <v>45</v>
      </c>
    </row>
    <row r="87" spans="1:66" ht="15">
      <c r="A87" s="65" t="s">
        <v>311</v>
      </c>
      <c r="B87" s="65" t="s">
        <v>362</v>
      </c>
      <c r="C87" s="66"/>
      <c r="D87" s="67"/>
      <c r="E87" s="66"/>
      <c r="F87" s="69"/>
      <c r="G87" s="66"/>
      <c r="H87" s="70"/>
      <c r="I87" s="71"/>
      <c r="J87" s="71"/>
      <c r="K87" s="35" t="s">
        <v>65</v>
      </c>
      <c r="L87" s="72">
        <v>168</v>
      </c>
      <c r="M87" s="72"/>
      <c r="N87" s="73"/>
      <c r="O87" s="80" t="s">
        <v>406</v>
      </c>
      <c r="P87" s="82">
        <v>44478.92481481482</v>
      </c>
      <c r="Q87" s="80" t="s">
        <v>459</v>
      </c>
      <c r="R87" s="85" t="str">
        <f>HYPERLINK("https://vegnews.com/2021/10/ashton-kutcher-cell-based-meat")</f>
        <v>https://vegnews.com/2021/10/ashton-kutcher-cell-based-meat</v>
      </c>
      <c r="S87" s="80" t="s">
        <v>532</v>
      </c>
      <c r="T87" s="80"/>
      <c r="U87" s="80"/>
      <c r="V87" s="85" t="str">
        <f>HYPERLINK("https://pbs.twimg.com/profile_images/1423781100762112000/RPH1_nn-_normal.jpg")</f>
        <v>https://pbs.twimg.com/profile_images/1423781100762112000/RPH1_nn-_normal.jpg</v>
      </c>
      <c r="W87" s="82">
        <v>44478.92481481482</v>
      </c>
      <c r="X87" s="87">
        <v>44478</v>
      </c>
      <c r="Y87" s="83" t="s">
        <v>651</v>
      </c>
      <c r="Z87" s="85" t="str">
        <f>HYPERLINK("https://twitter.com/rtopitsch/status/1446961604998881280")</f>
        <v>https://twitter.com/rtopitsch/status/1446961604998881280</v>
      </c>
      <c r="AA87" s="80"/>
      <c r="AB87" s="80"/>
      <c r="AC87" s="83" t="s">
        <v>834</v>
      </c>
      <c r="AD87" s="80"/>
      <c r="AE87" s="80" t="b">
        <v>0</v>
      </c>
      <c r="AF87" s="80">
        <v>2</v>
      </c>
      <c r="AG87" s="83" t="s">
        <v>952</v>
      </c>
      <c r="AH87" s="80" t="b">
        <v>0</v>
      </c>
      <c r="AI87" s="80" t="s">
        <v>967</v>
      </c>
      <c r="AJ87" s="80"/>
      <c r="AK87" s="83" t="s">
        <v>952</v>
      </c>
      <c r="AL87" s="80" t="b">
        <v>0</v>
      </c>
      <c r="AM87" s="80">
        <v>1</v>
      </c>
      <c r="AN87" s="83" t="s">
        <v>952</v>
      </c>
      <c r="AO87" s="83" t="s">
        <v>972</v>
      </c>
      <c r="AP87" s="80" t="b">
        <v>0</v>
      </c>
      <c r="AQ87" s="83" t="s">
        <v>834</v>
      </c>
      <c r="AR87" s="80" t="s">
        <v>196</v>
      </c>
      <c r="AS87" s="80">
        <v>0</v>
      </c>
      <c r="AT87" s="80">
        <v>0</v>
      </c>
      <c r="AU87" s="80"/>
      <c r="AV87" s="80"/>
      <c r="AW87" s="80"/>
      <c r="AX87" s="80"/>
      <c r="AY87" s="80"/>
      <c r="AZ87" s="80"/>
      <c r="BA87" s="80"/>
      <c r="BB87" s="80"/>
      <c r="BC87">
        <v>1</v>
      </c>
      <c r="BD87" s="79" t="str">
        <f>REPLACE(INDEX(GroupVertices[Group],MATCH(Edges25[[#This Row],[Vertex 1]],GroupVertices[Vertex],0)),1,1,"")</f>
        <v>4</v>
      </c>
      <c r="BE87" s="79" t="str">
        <f>REPLACE(INDEX(GroupVertices[Group],MATCH(Edges25[[#This Row],[Vertex 2]],GroupVertices[Vertex],0)),1,1,"")</f>
        <v>4</v>
      </c>
      <c r="BF87" s="49">
        <v>0</v>
      </c>
      <c r="BG87" s="50">
        <v>0</v>
      </c>
      <c r="BH87" s="49">
        <v>0</v>
      </c>
      <c r="BI87" s="50">
        <v>0</v>
      </c>
      <c r="BJ87" s="49">
        <v>0</v>
      </c>
      <c r="BK87" s="50">
        <v>0</v>
      </c>
      <c r="BL87" s="49">
        <v>13</v>
      </c>
      <c r="BM87" s="50">
        <v>100</v>
      </c>
      <c r="BN87" s="49">
        <v>13</v>
      </c>
    </row>
    <row r="88" spans="1:66" ht="15">
      <c r="A88" s="65" t="s">
        <v>312</v>
      </c>
      <c r="B88" s="65" t="s">
        <v>311</v>
      </c>
      <c r="C88" s="66"/>
      <c r="D88" s="67"/>
      <c r="E88" s="66"/>
      <c r="F88" s="69"/>
      <c r="G88" s="66"/>
      <c r="H88" s="70"/>
      <c r="I88" s="71"/>
      <c r="J88" s="71"/>
      <c r="K88" s="35" t="s">
        <v>65</v>
      </c>
      <c r="L88" s="72">
        <v>169</v>
      </c>
      <c r="M88" s="72"/>
      <c r="N88" s="73"/>
      <c r="O88" s="80" t="s">
        <v>408</v>
      </c>
      <c r="P88" s="82">
        <v>44479.466678240744</v>
      </c>
      <c r="Q88" s="80" t="s">
        <v>459</v>
      </c>
      <c r="R88" s="85" t="str">
        <f>HYPERLINK("https://vegnews.com/2021/10/ashton-kutcher-cell-based-meat")</f>
        <v>https://vegnews.com/2021/10/ashton-kutcher-cell-based-meat</v>
      </c>
      <c r="S88" s="80" t="s">
        <v>532</v>
      </c>
      <c r="T88" s="80"/>
      <c r="U88" s="80"/>
      <c r="V88" s="85" t="str">
        <f>HYPERLINK("https://pbs.twimg.com/profile_images/1095176099066245120/w7NpPKkN_normal.jpg")</f>
        <v>https://pbs.twimg.com/profile_images/1095176099066245120/w7NpPKkN_normal.jpg</v>
      </c>
      <c r="W88" s="82">
        <v>44479.466678240744</v>
      </c>
      <c r="X88" s="87">
        <v>44479</v>
      </c>
      <c r="Y88" s="83" t="s">
        <v>652</v>
      </c>
      <c r="Z88" s="85" t="str">
        <f>HYPERLINK("https://twitter.com/augustakaiserin/status/1447157971591565315")</f>
        <v>https://twitter.com/augustakaiserin/status/1447157971591565315</v>
      </c>
      <c r="AA88" s="80"/>
      <c r="AB88" s="80"/>
      <c r="AC88" s="83" t="s">
        <v>835</v>
      </c>
      <c r="AD88" s="80"/>
      <c r="AE88" s="80" t="b">
        <v>0</v>
      </c>
      <c r="AF88" s="80">
        <v>0</v>
      </c>
      <c r="AG88" s="83" t="s">
        <v>952</v>
      </c>
      <c r="AH88" s="80" t="b">
        <v>0</v>
      </c>
      <c r="AI88" s="80" t="s">
        <v>967</v>
      </c>
      <c r="AJ88" s="80"/>
      <c r="AK88" s="83" t="s">
        <v>952</v>
      </c>
      <c r="AL88" s="80" t="b">
        <v>0</v>
      </c>
      <c r="AM88" s="80">
        <v>1</v>
      </c>
      <c r="AN88" s="83" t="s">
        <v>834</v>
      </c>
      <c r="AO88" s="83" t="s">
        <v>979</v>
      </c>
      <c r="AP88" s="80" t="b">
        <v>0</v>
      </c>
      <c r="AQ88" s="83" t="s">
        <v>834</v>
      </c>
      <c r="AR88" s="80" t="s">
        <v>196</v>
      </c>
      <c r="AS88" s="80">
        <v>0</v>
      </c>
      <c r="AT88" s="80">
        <v>0</v>
      </c>
      <c r="AU88" s="80"/>
      <c r="AV88" s="80"/>
      <c r="AW88" s="80"/>
      <c r="AX88" s="80"/>
      <c r="AY88" s="80"/>
      <c r="AZ88" s="80"/>
      <c r="BA88" s="80"/>
      <c r="BB88" s="80"/>
      <c r="BC88">
        <v>1</v>
      </c>
      <c r="BD88" s="79" t="str">
        <f>REPLACE(INDEX(GroupVertices[Group],MATCH(Edges25[[#This Row],[Vertex 1]],GroupVertices[Vertex],0)),1,1,"")</f>
        <v>4</v>
      </c>
      <c r="BE88" s="79" t="str">
        <f>REPLACE(INDEX(GroupVertices[Group],MATCH(Edges25[[#This Row],[Vertex 2]],GroupVertices[Vertex],0)),1,1,"")</f>
        <v>4</v>
      </c>
      <c r="BF88" s="49"/>
      <c r="BG88" s="50"/>
      <c r="BH88" s="49"/>
      <c r="BI88" s="50"/>
      <c r="BJ88" s="49"/>
      <c r="BK88" s="50"/>
      <c r="BL88" s="49"/>
      <c r="BM88" s="50"/>
      <c r="BN88" s="49"/>
    </row>
    <row r="89" spans="1:66" ht="15">
      <c r="A89" s="65" t="s">
        <v>313</v>
      </c>
      <c r="B89" s="65" t="s">
        <v>313</v>
      </c>
      <c r="C89" s="66"/>
      <c r="D89" s="67"/>
      <c r="E89" s="66"/>
      <c r="F89" s="69"/>
      <c r="G89" s="66"/>
      <c r="H89" s="70"/>
      <c r="I89" s="71"/>
      <c r="J89" s="71"/>
      <c r="K89" s="35" t="s">
        <v>65</v>
      </c>
      <c r="L89" s="72">
        <v>171</v>
      </c>
      <c r="M89" s="72"/>
      <c r="N89" s="73"/>
      <c r="O89" s="80" t="s">
        <v>196</v>
      </c>
      <c r="P89" s="82">
        <v>44479.541666666664</v>
      </c>
      <c r="Q89" s="80" t="s">
        <v>460</v>
      </c>
      <c r="R89" s="80" t="s">
        <v>509</v>
      </c>
      <c r="S89" s="80" t="s">
        <v>536</v>
      </c>
      <c r="T89" s="80"/>
      <c r="U89" s="85" t="str">
        <f>HYPERLINK("https://pbs.twimg.com/media/FBVvODCWQAAcoI4.jpg")</f>
        <v>https://pbs.twimg.com/media/FBVvODCWQAAcoI4.jpg</v>
      </c>
      <c r="V89" s="85" t="str">
        <f>HYPERLINK("https://pbs.twimg.com/media/FBVvODCWQAAcoI4.jpg")</f>
        <v>https://pbs.twimg.com/media/FBVvODCWQAAcoI4.jpg</v>
      </c>
      <c r="W89" s="82">
        <v>44479.541666666664</v>
      </c>
      <c r="X89" s="87">
        <v>44479</v>
      </c>
      <c r="Y89" s="83" t="s">
        <v>653</v>
      </c>
      <c r="Z89" s="85" t="str">
        <f>HYPERLINK("https://twitter.com/foodtechmatters/status/1447185144364818435")</f>
        <v>https://twitter.com/foodtechmatters/status/1447185144364818435</v>
      </c>
      <c r="AA89" s="80"/>
      <c r="AB89" s="80"/>
      <c r="AC89" s="83" t="s">
        <v>836</v>
      </c>
      <c r="AD89" s="80"/>
      <c r="AE89" s="80" t="b">
        <v>0</v>
      </c>
      <c r="AF89" s="80">
        <v>1</v>
      </c>
      <c r="AG89" s="83" t="s">
        <v>952</v>
      </c>
      <c r="AH89" s="80" t="b">
        <v>0</v>
      </c>
      <c r="AI89" s="80" t="s">
        <v>967</v>
      </c>
      <c r="AJ89" s="80"/>
      <c r="AK89" s="83" t="s">
        <v>952</v>
      </c>
      <c r="AL89" s="80" t="b">
        <v>0</v>
      </c>
      <c r="AM89" s="80">
        <v>0</v>
      </c>
      <c r="AN89" s="83" t="s">
        <v>952</v>
      </c>
      <c r="AO89" s="83" t="s">
        <v>978</v>
      </c>
      <c r="AP89" s="80" t="b">
        <v>0</v>
      </c>
      <c r="AQ89" s="83" t="s">
        <v>836</v>
      </c>
      <c r="AR89" s="80" t="s">
        <v>196</v>
      </c>
      <c r="AS89" s="80">
        <v>0</v>
      </c>
      <c r="AT89" s="80">
        <v>0</v>
      </c>
      <c r="AU89" s="80"/>
      <c r="AV89" s="80"/>
      <c r="AW89" s="80"/>
      <c r="AX89" s="80"/>
      <c r="AY89" s="80"/>
      <c r="AZ89" s="80"/>
      <c r="BA89" s="80"/>
      <c r="BB89" s="80"/>
      <c r="BC89">
        <v>1</v>
      </c>
      <c r="BD89" s="79" t="str">
        <f>REPLACE(INDEX(GroupVertices[Group],MATCH(Edges25[[#This Row],[Vertex 1]],GroupVertices[Vertex],0)),1,1,"")</f>
        <v>2</v>
      </c>
      <c r="BE89" s="79" t="str">
        <f>REPLACE(INDEX(GroupVertices[Group],MATCH(Edges25[[#This Row],[Vertex 2]],GroupVertices[Vertex],0)),1,1,"")</f>
        <v>2</v>
      </c>
      <c r="BF89" s="49">
        <v>0</v>
      </c>
      <c r="BG89" s="50">
        <v>0</v>
      </c>
      <c r="BH89" s="49">
        <v>0</v>
      </c>
      <c r="BI89" s="50">
        <v>0</v>
      </c>
      <c r="BJ89" s="49">
        <v>0</v>
      </c>
      <c r="BK89" s="50">
        <v>0</v>
      </c>
      <c r="BL89" s="49">
        <v>25</v>
      </c>
      <c r="BM89" s="50">
        <v>100</v>
      </c>
      <c r="BN89" s="49">
        <v>25</v>
      </c>
    </row>
    <row r="90" spans="1:66" ht="15">
      <c r="A90" s="65" t="s">
        <v>314</v>
      </c>
      <c r="B90" s="65" t="s">
        <v>314</v>
      </c>
      <c r="C90" s="66"/>
      <c r="D90" s="67"/>
      <c r="E90" s="66"/>
      <c r="F90" s="69"/>
      <c r="G90" s="66"/>
      <c r="H90" s="70"/>
      <c r="I90" s="71"/>
      <c r="J90" s="71"/>
      <c r="K90" s="35" t="s">
        <v>65</v>
      </c>
      <c r="L90" s="72">
        <v>172</v>
      </c>
      <c r="M90" s="72"/>
      <c r="N90" s="73"/>
      <c r="O90" s="80" t="s">
        <v>196</v>
      </c>
      <c r="P90" s="82">
        <v>44476.25662037037</v>
      </c>
      <c r="Q90" s="80" t="s">
        <v>461</v>
      </c>
      <c r="R90" s="85" t="str">
        <f>HYPERLINK("https://www.csiro.au/en/work-with-us/funding-programs/programs/Innovate-to-Grow/Agrifood")</f>
        <v>https://www.csiro.au/en/work-with-us/funding-programs/programs/Innovate-to-Grow/Agrifood</v>
      </c>
      <c r="S90" s="80" t="s">
        <v>537</v>
      </c>
      <c r="T90" s="80"/>
      <c r="U90" s="85" t="str">
        <f>HYPERLINK("https://pbs.twimg.com/media/FBE0W0WUUAIIMV3.jpg")</f>
        <v>https://pbs.twimg.com/media/FBE0W0WUUAIIMV3.jpg</v>
      </c>
      <c r="V90" s="85" t="str">
        <f>HYPERLINK("https://pbs.twimg.com/media/FBE0W0WUUAIIMV3.jpg")</f>
        <v>https://pbs.twimg.com/media/FBE0W0WUUAIIMV3.jpg</v>
      </c>
      <c r="W90" s="82">
        <v>44476.25662037037</v>
      </c>
      <c r="X90" s="87">
        <v>44476</v>
      </c>
      <c r="Y90" s="83" t="s">
        <v>654</v>
      </c>
      <c r="Z90" s="85" t="str">
        <f>HYPERLINK("https://twitter.com/jungian_soul/status/1445994685445513216")</f>
        <v>https://twitter.com/jungian_soul/status/1445994685445513216</v>
      </c>
      <c r="AA90" s="80"/>
      <c r="AB90" s="80"/>
      <c r="AC90" s="83" t="s">
        <v>837</v>
      </c>
      <c r="AD90" s="80"/>
      <c r="AE90" s="80" t="b">
        <v>0</v>
      </c>
      <c r="AF90" s="80">
        <v>0</v>
      </c>
      <c r="AG90" s="83" t="s">
        <v>952</v>
      </c>
      <c r="AH90" s="80" t="b">
        <v>0</v>
      </c>
      <c r="AI90" s="80" t="s">
        <v>967</v>
      </c>
      <c r="AJ90" s="80"/>
      <c r="AK90" s="83" t="s">
        <v>952</v>
      </c>
      <c r="AL90" s="80" t="b">
        <v>0</v>
      </c>
      <c r="AM90" s="80">
        <v>0</v>
      </c>
      <c r="AN90" s="83" t="s">
        <v>952</v>
      </c>
      <c r="AO90" s="83" t="s">
        <v>972</v>
      </c>
      <c r="AP90" s="80" t="b">
        <v>0</v>
      </c>
      <c r="AQ90" s="83" t="s">
        <v>837</v>
      </c>
      <c r="AR90" s="80" t="s">
        <v>196</v>
      </c>
      <c r="AS90" s="80">
        <v>0</v>
      </c>
      <c r="AT90" s="80">
        <v>0</v>
      </c>
      <c r="AU90" s="80"/>
      <c r="AV90" s="80"/>
      <c r="AW90" s="80"/>
      <c r="AX90" s="80"/>
      <c r="AY90" s="80"/>
      <c r="AZ90" s="80"/>
      <c r="BA90" s="80"/>
      <c r="BB90" s="80"/>
      <c r="BC90">
        <v>6</v>
      </c>
      <c r="BD90" s="79" t="str">
        <f>REPLACE(INDEX(GroupVertices[Group],MATCH(Edges25[[#This Row],[Vertex 1]],GroupVertices[Vertex],0)),1,1,"")</f>
        <v>14</v>
      </c>
      <c r="BE90" s="79" t="str">
        <f>REPLACE(INDEX(GroupVertices[Group],MATCH(Edges25[[#This Row],[Vertex 2]],GroupVertices[Vertex],0)),1,1,"")</f>
        <v>14</v>
      </c>
      <c r="BF90" s="49">
        <v>0</v>
      </c>
      <c r="BG90" s="50">
        <v>0</v>
      </c>
      <c r="BH90" s="49">
        <v>0</v>
      </c>
      <c r="BI90" s="50">
        <v>0</v>
      </c>
      <c r="BJ90" s="49">
        <v>0</v>
      </c>
      <c r="BK90" s="50">
        <v>0</v>
      </c>
      <c r="BL90" s="49">
        <v>19</v>
      </c>
      <c r="BM90" s="50">
        <v>100</v>
      </c>
      <c r="BN90" s="49">
        <v>19</v>
      </c>
    </row>
    <row r="91" spans="1:66" ht="15">
      <c r="A91" s="65" t="s">
        <v>314</v>
      </c>
      <c r="B91" s="65" t="s">
        <v>314</v>
      </c>
      <c r="C91" s="66"/>
      <c r="D91" s="67"/>
      <c r="E91" s="66"/>
      <c r="F91" s="69"/>
      <c r="G91" s="66"/>
      <c r="H91" s="70"/>
      <c r="I91" s="71"/>
      <c r="J91" s="71"/>
      <c r="K91" s="35" t="s">
        <v>65</v>
      </c>
      <c r="L91" s="72">
        <v>173</v>
      </c>
      <c r="M91" s="72"/>
      <c r="N91" s="73"/>
      <c r="O91" s="80" t="s">
        <v>196</v>
      </c>
      <c r="P91" s="82">
        <v>44476.28194444445</v>
      </c>
      <c r="Q91" s="80" t="s">
        <v>433</v>
      </c>
      <c r="R91" s="85" t="str">
        <f>HYPERLINK("https://plantbasednews.org/news/australian-company-create-cell-based-meat-from-exotic-animals/")</f>
        <v>https://plantbasednews.org/news/australian-company-create-cell-based-meat-from-exotic-animals/</v>
      </c>
      <c r="S91" s="80" t="s">
        <v>529</v>
      </c>
      <c r="T91" s="80"/>
      <c r="U91" s="80"/>
      <c r="V91" s="85" t="str">
        <f>HYPERLINK("https://pbs.twimg.com/profile_images/1443256995302178819/_RscXDoK_normal.jpg")</f>
        <v>https://pbs.twimg.com/profile_images/1443256995302178819/_RscXDoK_normal.jpg</v>
      </c>
      <c r="W91" s="82">
        <v>44476.28194444445</v>
      </c>
      <c r="X91" s="87">
        <v>44476</v>
      </c>
      <c r="Y91" s="83" t="s">
        <v>655</v>
      </c>
      <c r="Z91" s="85" t="str">
        <f>HYPERLINK("https://twitter.com/jungian_soul/status/1446003859038478338")</f>
        <v>https://twitter.com/jungian_soul/status/1446003859038478338</v>
      </c>
      <c r="AA91" s="80"/>
      <c r="AB91" s="80"/>
      <c r="AC91" s="83" t="s">
        <v>838</v>
      </c>
      <c r="AD91" s="80"/>
      <c r="AE91" s="80" t="b">
        <v>0</v>
      </c>
      <c r="AF91" s="80">
        <v>4</v>
      </c>
      <c r="AG91" s="83" t="s">
        <v>952</v>
      </c>
      <c r="AH91" s="80" t="b">
        <v>0</v>
      </c>
      <c r="AI91" s="80" t="s">
        <v>967</v>
      </c>
      <c r="AJ91" s="80"/>
      <c r="AK91" s="83" t="s">
        <v>952</v>
      </c>
      <c r="AL91" s="80" t="b">
        <v>0</v>
      </c>
      <c r="AM91" s="80">
        <v>4</v>
      </c>
      <c r="AN91" s="83" t="s">
        <v>952</v>
      </c>
      <c r="AO91" s="83" t="s">
        <v>972</v>
      </c>
      <c r="AP91" s="80" t="b">
        <v>0</v>
      </c>
      <c r="AQ91" s="83" t="s">
        <v>838</v>
      </c>
      <c r="AR91" s="80" t="s">
        <v>196</v>
      </c>
      <c r="AS91" s="80">
        <v>0</v>
      </c>
      <c r="AT91" s="80">
        <v>0</v>
      </c>
      <c r="AU91" s="80"/>
      <c r="AV91" s="80"/>
      <c r="AW91" s="80"/>
      <c r="AX91" s="80"/>
      <c r="AY91" s="80"/>
      <c r="AZ91" s="80"/>
      <c r="BA91" s="80"/>
      <c r="BB91" s="80"/>
      <c r="BC91">
        <v>6</v>
      </c>
      <c r="BD91" s="79" t="str">
        <f>REPLACE(INDEX(GroupVertices[Group],MATCH(Edges25[[#This Row],[Vertex 1]],GroupVertices[Vertex],0)),1,1,"")</f>
        <v>14</v>
      </c>
      <c r="BE91" s="79" t="str">
        <f>REPLACE(INDEX(GroupVertices[Group],MATCH(Edges25[[#This Row],[Vertex 2]],GroupVertices[Vertex],0)),1,1,"")</f>
        <v>14</v>
      </c>
      <c r="BF91" s="49">
        <v>1</v>
      </c>
      <c r="BG91" s="50">
        <v>7.142857142857143</v>
      </c>
      <c r="BH91" s="49">
        <v>0</v>
      </c>
      <c r="BI91" s="50">
        <v>0</v>
      </c>
      <c r="BJ91" s="49">
        <v>0</v>
      </c>
      <c r="BK91" s="50">
        <v>0</v>
      </c>
      <c r="BL91" s="49">
        <v>13</v>
      </c>
      <c r="BM91" s="50">
        <v>92.85714285714286</v>
      </c>
      <c r="BN91" s="49">
        <v>14</v>
      </c>
    </row>
    <row r="92" spans="1:66" ht="15">
      <c r="A92" s="65" t="s">
        <v>314</v>
      </c>
      <c r="B92" s="65" t="s">
        <v>314</v>
      </c>
      <c r="C92" s="66"/>
      <c r="D92" s="67"/>
      <c r="E92" s="66"/>
      <c r="F92" s="69"/>
      <c r="G92" s="66"/>
      <c r="H92" s="70"/>
      <c r="I92" s="71"/>
      <c r="J92" s="71"/>
      <c r="K92" s="35" t="s">
        <v>65</v>
      </c>
      <c r="L92" s="72">
        <v>174</v>
      </c>
      <c r="M92" s="72"/>
      <c r="N92" s="73"/>
      <c r="O92" s="80" t="s">
        <v>196</v>
      </c>
      <c r="P92" s="82">
        <v>44476.28271990741</v>
      </c>
      <c r="Q92" s="80" t="s">
        <v>462</v>
      </c>
      <c r="R92" s="85" t="str">
        <f>HYPERLINK("https://plantbasednews.org/lifestyle/60-meat-2040-vegan-cultured-not-dead-animals/")</f>
        <v>https://plantbasednews.org/lifestyle/60-meat-2040-vegan-cultured-not-dead-animals/</v>
      </c>
      <c r="S92" s="80" t="s">
        <v>529</v>
      </c>
      <c r="T92" s="80"/>
      <c r="U92" s="80"/>
      <c r="V92" s="85" t="str">
        <f>HYPERLINK("https://pbs.twimg.com/profile_images/1443256995302178819/_RscXDoK_normal.jpg")</f>
        <v>https://pbs.twimg.com/profile_images/1443256995302178819/_RscXDoK_normal.jpg</v>
      </c>
      <c r="W92" s="82">
        <v>44476.28271990741</v>
      </c>
      <c r="X92" s="87">
        <v>44476</v>
      </c>
      <c r="Y92" s="83" t="s">
        <v>656</v>
      </c>
      <c r="Z92" s="85" t="str">
        <f>HYPERLINK("https://twitter.com/jungian_soul/status/1446004141021548544")</f>
        <v>https://twitter.com/jungian_soul/status/1446004141021548544</v>
      </c>
      <c r="AA92" s="80"/>
      <c r="AB92" s="80"/>
      <c r="AC92" s="83" t="s">
        <v>839</v>
      </c>
      <c r="AD92" s="80"/>
      <c r="AE92" s="80" t="b">
        <v>0</v>
      </c>
      <c r="AF92" s="80">
        <v>0</v>
      </c>
      <c r="AG92" s="83" t="s">
        <v>952</v>
      </c>
      <c r="AH92" s="80" t="b">
        <v>0</v>
      </c>
      <c r="AI92" s="80" t="s">
        <v>967</v>
      </c>
      <c r="AJ92" s="80"/>
      <c r="AK92" s="83" t="s">
        <v>952</v>
      </c>
      <c r="AL92" s="80" t="b">
        <v>0</v>
      </c>
      <c r="AM92" s="80">
        <v>0</v>
      </c>
      <c r="AN92" s="83" t="s">
        <v>952</v>
      </c>
      <c r="AO92" s="83" t="s">
        <v>972</v>
      </c>
      <c r="AP92" s="80" t="b">
        <v>0</v>
      </c>
      <c r="AQ92" s="83" t="s">
        <v>839</v>
      </c>
      <c r="AR92" s="80" t="s">
        <v>196</v>
      </c>
      <c r="AS92" s="80">
        <v>0</v>
      </c>
      <c r="AT92" s="80">
        <v>0</v>
      </c>
      <c r="AU92" s="80"/>
      <c r="AV92" s="80"/>
      <c r="AW92" s="80"/>
      <c r="AX92" s="80"/>
      <c r="AY92" s="80"/>
      <c r="AZ92" s="80"/>
      <c r="BA92" s="80"/>
      <c r="BB92" s="80"/>
      <c r="BC92">
        <v>6</v>
      </c>
      <c r="BD92" s="79" t="str">
        <f>REPLACE(INDEX(GroupVertices[Group],MATCH(Edges25[[#This Row],[Vertex 1]],GroupVertices[Vertex],0)),1,1,"")</f>
        <v>14</v>
      </c>
      <c r="BE92" s="79" t="str">
        <f>REPLACE(INDEX(GroupVertices[Group],MATCH(Edges25[[#This Row],[Vertex 2]],GroupVertices[Vertex],0)),1,1,"")</f>
        <v>14</v>
      </c>
      <c r="BF92" s="49">
        <v>1</v>
      </c>
      <c r="BG92" s="50">
        <v>3.4482758620689653</v>
      </c>
      <c r="BH92" s="49">
        <v>1</v>
      </c>
      <c r="BI92" s="50">
        <v>3.4482758620689653</v>
      </c>
      <c r="BJ92" s="49">
        <v>0</v>
      </c>
      <c r="BK92" s="50">
        <v>0</v>
      </c>
      <c r="BL92" s="49">
        <v>27</v>
      </c>
      <c r="BM92" s="50">
        <v>93.10344827586206</v>
      </c>
      <c r="BN92" s="49">
        <v>29</v>
      </c>
    </row>
    <row r="93" spans="1:66" ht="15">
      <c r="A93" s="65" t="s">
        <v>314</v>
      </c>
      <c r="B93" s="65" t="s">
        <v>314</v>
      </c>
      <c r="C93" s="66"/>
      <c r="D93" s="67"/>
      <c r="E93" s="66"/>
      <c r="F93" s="69"/>
      <c r="G93" s="66"/>
      <c r="H93" s="70"/>
      <c r="I93" s="71"/>
      <c r="J93" s="71"/>
      <c r="K93" s="35" t="s">
        <v>65</v>
      </c>
      <c r="L93" s="72">
        <v>175</v>
      </c>
      <c r="M93" s="72"/>
      <c r="N93" s="73"/>
      <c r="O93" s="80" t="s">
        <v>196</v>
      </c>
      <c r="P93" s="82">
        <v>44476.28306712963</v>
      </c>
      <c r="Q93" s="80" t="s">
        <v>463</v>
      </c>
      <c r="R93" s="85" t="str">
        <f>HYPERLINK("https://plantbasednews.org/lifestyle/food/cell-cultured-meat-could-hit-grocery-stores-in-next-5-years-predicts-expert/")</f>
        <v>https://plantbasednews.org/lifestyle/food/cell-cultured-meat-could-hit-grocery-stores-in-next-5-years-predicts-expert/</v>
      </c>
      <c r="S93" s="80" t="s">
        <v>529</v>
      </c>
      <c r="T93" s="80"/>
      <c r="U93" s="80"/>
      <c r="V93" s="85" t="str">
        <f>HYPERLINK("https://pbs.twimg.com/profile_images/1443256995302178819/_RscXDoK_normal.jpg")</f>
        <v>https://pbs.twimg.com/profile_images/1443256995302178819/_RscXDoK_normal.jpg</v>
      </c>
      <c r="W93" s="82">
        <v>44476.28306712963</v>
      </c>
      <c r="X93" s="87">
        <v>44476</v>
      </c>
      <c r="Y93" s="83" t="s">
        <v>657</v>
      </c>
      <c r="Z93" s="85" t="str">
        <f>HYPERLINK("https://twitter.com/jungian_soul/status/1446004268826202118")</f>
        <v>https://twitter.com/jungian_soul/status/1446004268826202118</v>
      </c>
      <c r="AA93" s="80"/>
      <c r="AB93" s="80"/>
      <c r="AC93" s="83" t="s">
        <v>840</v>
      </c>
      <c r="AD93" s="80"/>
      <c r="AE93" s="80" t="b">
        <v>0</v>
      </c>
      <c r="AF93" s="80">
        <v>1</v>
      </c>
      <c r="AG93" s="83" t="s">
        <v>952</v>
      </c>
      <c r="AH93" s="80" t="b">
        <v>0</v>
      </c>
      <c r="AI93" s="80" t="s">
        <v>967</v>
      </c>
      <c r="AJ93" s="80"/>
      <c r="AK93" s="83" t="s">
        <v>952</v>
      </c>
      <c r="AL93" s="80" t="b">
        <v>0</v>
      </c>
      <c r="AM93" s="80">
        <v>0</v>
      </c>
      <c r="AN93" s="83" t="s">
        <v>952</v>
      </c>
      <c r="AO93" s="83" t="s">
        <v>972</v>
      </c>
      <c r="AP93" s="80" t="b">
        <v>0</v>
      </c>
      <c r="AQ93" s="83" t="s">
        <v>840</v>
      </c>
      <c r="AR93" s="80" t="s">
        <v>196</v>
      </c>
      <c r="AS93" s="80">
        <v>0</v>
      </c>
      <c r="AT93" s="80">
        <v>0</v>
      </c>
      <c r="AU93" s="80"/>
      <c r="AV93" s="80"/>
      <c r="AW93" s="80"/>
      <c r="AX93" s="80"/>
      <c r="AY93" s="80"/>
      <c r="AZ93" s="80"/>
      <c r="BA93" s="80"/>
      <c r="BB93" s="80"/>
      <c r="BC93">
        <v>6</v>
      </c>
      <c r="BD93" s="79" t="str">
        <f>REPLACE(INDEX(GroupVertices[Group],MATCH(Edges25[[#This Row],[Vertex 1]],GroupVertices[Vertex],0)),1,1,"")</f>
        <v>14</v>
      </c>
      <c r="BE93" s="79" t="str">
        <f>REPLACE(INDEX(GroupVertices[Group],MATCH(Edges25[[#This Row],[Vertex 2]],GroupVertices[Vertex],0)),1,1,"")</f>
        <v>14</v>
      </c>
      <c r="BF93" s="49">
        <v>0</v>
      </c>
      <c r="BG93" s="50">
        <v>0</v>
      </c>
      <c r="BH93" s="49">
        <v>0</v>
      </c>
      <c r="BI93" s="50">
        <v>0</v>
      </c>
      <c r="BJ93" s="49">
        <v>0</v>
      </c>
      <c r="BK93" s="50">
        <v>0</v>
      </c>
      <c r="BL93" s="49">
        <v>16</v>
      </c>
      <c r="BM93" s="50">
        <v>100</v>
      </c>
      <c r="BN93" s="49">
        <v>16</v>
      </c>
    </row>
    <row r="94" spans="1:66" ht="15">
      <c r="A94" s="65" t="s">
        <v>314</v>
      </c>
      <c r="B94" s="65" t="s">
        <v>314</v>
      </c>
      <c r="C94" s="66"/>
      <c r="D94" s="67"/>
      <c r="E94" s="66"/>
      <c r="F94" s="69"/>
      <c r="G94" s="66"/>
      <c r="H94" s="70"/>
      <c r="I94" s="71"/>
      <c r="J94" s="71"/>
      <c r="K94" s="35" t="s">
        <v>65</v>
      </c>
      <c r="L94" s="72">
        <v>176</v>
      </c>
      <c r="M94" s="72"/>
      <c r="N94" s="73"/>
      <c r="O94" s="80" t="s">
        <v>196</v>
      </c>
      <c r="P94" s="82">
        <v>44479.55365740741</v>
      </c>
      <c r="Q94" s="80" t="s">
        <v>464</v>
      </c>
      <c r="R94" s="85" t="str">
        <f>HYPERLINK("https://www.farmonline.com.au/story/7458243/new-leaders-at-harvest-road/?cs=5374")</f>
        <v>https://www.farmonline.com.au/story/7458243/new-leaders-at-harvest-road/?cs=5374</v>
      </c>
      <c r="S94" s="80" t="s">
        <v>538</v>
      </c>
      <c r="T94" s="80"/>
      <c r="U94" s="85" t="str">
        <f>HYPERLINK("https://pbs.twimg.com/media/FBVy2qOVEAU9poN.jpg")</f>
        <v>https://pbs.twimg.com/media/FBVy2qOVEAU9poN.jpg</v>
      </c>
      <c r="V94" s="85" t="str">
        <f>HYPERLINK("https://pbs.twimg.com/media/FBVy2qOVEAU9poN.jpg")</f>
        <v>https://pbs.twimg.com/media/FBVy2qOVEAU9poN.jpg</v>
      </c>
      <c r="W94" s="82">
        <v>44479.55365740741</v>
      </c>
      <c r="X94" s="87">
        <v>44479</v>
      </c>
      <c r="Y94" s="83" t="s">
        <v>658</v>
      </c>
      <c r="Z94" s="85" t="str">
        <f>HYPERLINK("https://twitter.com/jungian_soul/status/1447189488753541124")</f>
        <v>https://twitter.com/jungian_soul/status/1447189488753541124</v>
      </c>
      <c r="AA94" s="80"/>
      <c r="AB94" s="80"/>
      <c r="AC94" s="83" t="s">
        <v>841</v>
      </c>
      <c r="AD94" s="80"/>
      <c r="AE94" s="80" t="b">
        <v>0</v>
      </c>
      <c r="AF94" s="80">
        <v>5</v>
      </c>
      <c r="AG94" s="83" t="s">
        <v>952</v>
      </c>
      <c r="AH94" s="80" t="b">
        <v>0</v>
      </c>
      <c r="AI94" s="80" t="s">
        <v>967</v>
      </c>
      <c r="AJ94" s="80"/>
      <c r="AK94" s="83" t="s">
        <v>952</v>
      </c>
      <c r="AL94" s="80" t="b">
        <v>0</v>
      </c>
      <c r="AM94" s="80">
        <v>0</v>
      </c>
      <c r="AN94" s="83" t="s">
        <v>952</v>
      </c>
      <c r="AO94" s="83" t="s">
        <v>972</v>
      </c>
      <c r="AP94" s="80" t="b">
        <v>0</v>
      </c>
      <c r="AQ94" s="83" t="s">
        <v>841</v>
      </c>
      <c r="AR94" s="80" t="s">
        <v>196</v>
      </c>
      <c r="AS94" s="80">
        <v>0</v>
      </c>
      <c r="AT94" s="80">
        <v>0</v>
      </c>
      <c r="AU94" s="80"/>
      <c r="AV94" s="80"/>
      <c r="AW94" s="80"/>
      <c r="AX94" s="80"/>
      <c r="AY94" s="80"/>
      <c r="AZ94" s="80"/>
      <c r="BA94" s="80"/>
      <c r="BB94" s="80"/>
      <c r="BC94">
        <v>6</v>
      </c>
      <c r="BD94" s="79" t="str">
        <f>REPLACE(INDEX(GroupVertices[Group],MATCH(Edges25[[#This Row],[Vertex 1]],GroupVertices[Vertex],0)),1,1,"")</f>
        <v>14</v>
      </c>
      <c r="BE94" s="79" t="str">
        <f>REPLACE(INDEX(GroupVertices[Group],MATCH(Edges25[[#This Row],[Vertex 2]],GroupVertices[Vertex],0)),1,1,"")</f>
        <v>14</v>
      </c>
      <c r="BF94" s="49">
        <v>0</v>
      </c>
      <c r="BG94" s="50">
        <v>0</v>
      </c>
      <c r="BH94" s="49">
        <v>0</v>
      </c>
      <c r="BI94" s="50">
        <v>0</v>
      </c>
      <c r="BJ94" s="49">
        <v>0</v>
      </c>
      <c r="BK94" s="50">
        <v>0</v>
      </c>
      <c r="BL94" s="49">
        <v>32</v>
      </c>
      <c r="BM94" s="50">
        <v>100</v>
      </c>
      <c r="BN94" s="49">
        <v>32</v>
      </c>
    </row>
    <row r="95" spans="1:66" ht="15">
      <c r="A95" s="65" t="s">
        <v>314</v>
      </c>
      <c r="B95" s="65" t="s">
        <v>314</v>
      </c>
      <c r="C95" s="66"/>
      <c r="D95" s="67"/>
      <c r="E95" s="66"/>
      <c r="F95" s="69"/>
      <c r="G95" s="66"/>
      <c r="H95" s="70"/>
      <c r="I95" s="71"/>
      <c r="J95" s="71"/>
      <c r="K95" s="35" t="s">
        <v>65</v>
      </c>
      <c r="L95" s="72">
        <v>177</v>
      </c>
      <c r="M95" s="72"/>
      <c r="N95" s="73"/>
      <c r="O95" s="80" t="s">
        <v>196</v>
      </c>
      <c r="P95" s="82">
        <v>44479.583090277774</v>
      </c>
      <c r="Q95" s="80" t="s">
        <v>465</v>
      </c>
      <c r="R95" s="80"/>
      <c r="S95" s="80"/>
      <c r="T95" s="80"/>
      <c r="U95" s="80"/>
      <c r="V95" s="85" t="str">
        <f>HYPERLINK("https://pbs.twimg.com/profile_images/1443256995302178819/_RscXDoK_normal.jpg")</f>
        <v>https://pbs.twimg.com/profile_images/1443256995302178819/_RscXDoK_normal.jpg</v>
      </c>
      <c r="W95" s="82">
        <v>44479.583090277774</v>
      </c>
      <c r="X95" s="87">
        <v>44479</v>
      </c>
      <c r="Y95" s="83" t="s">
        <v>659</v>
      </c>
      <c r="Z95" s="85" t="str">
        <f>HYPERLINK("https://twitter.com/jungian_soul/status/1447200154994425858")</f>
        <v>https://twitter.com/jungian_soul/status/1447200154994425858</v>
      </c>
      <c r="AA95" s="80"/>
      <c r="AB95" s="80"/>
      <c r="AC95" s="83" t="s">
        <v>842</v>
      </c>
      <c r="AD95" s="80"/>
      <c r="AE95" s="80" t="b">
        <v>0</v>
      </c>
      <c r="AF95" s="80">
        <v>1</v>
      </c>
      <c r="AG95" s="83" t="s">
        <v>952</v>
      </c>
      <c r="AH95" s="80" t="b">
        <v>0</v>
      </c>
      <c r="AI95" s="80" t="s">
        <v>967</v>
      </c>
      <c r="AJ95" s="80"/>
      <c r="AK95" s="83" t="s">
        <v>952</v>
      </c>
      <c r="AL95" s="80" t="b">
        <v>0</v>
      </c>
      <c r="AM95" s="80">
        <v>0</v>
      </c>
      <c r="AN95" s="83" t="s">
        <v>952</v>
      </c>
      <c r="AO95" s="83" t="s">
        <v>972</v>
      </c>
      <c r="AP95" s="80" t="b">
        <v>0</v>
      </c>
      <c r="AQ95" s="83" t="s">
        <v>842</v>
      </c>
      <c r="AR95" s="80" t="s">
        <v>196</v>
      </c>
      <c r="AS95" s="80">
        <v>0</v>
      </c>
      <c r="AT95" s="80">
        <v>0</v>
      </c>
      <c r="AU95" s="80"/>
      <c r="AV95" s="80"/>
      <c r="AW95" s="80"/>
      <c r="AX95" s="80"/>
      <c r="AY95" s="80"/>
      <c r="AZ95" s="80"/>
      <c r="BA95" s="80"/>
      <c r="BB95" s="80"/>
      <c r="BC95">
        <v>6</v>
      </c>
      <c r="BD95" s="79" t="str">
        <f>REPLACE(INDEX(GroupVertices[Group],MATCH(Edges25[[#This Row],[Vertex 1]],GroupVertices[Vertex],0)),1,1,"")</f>
        <v>14</v>
      </c>
      <c r="BE95" s="79" t="str">
        <f>REPLACE(INDEX(GroupVertices[Group],MATCH(Edges25[[#This Row],[Vertex 2]],GroupVertices[Vertex],0)),1,1,"")</f>
        <v>14</v>
      </c>
      <c r="BF95" s="49">
        <v>0</v>
      </c>
      <c r="BG95" s="50">
        <v>0</v>
      </c>
      <c r="BH95" s="49">
        <v>0</v>
      </c>
      <c r="BI95" s="50">
        <v>0</v>
      </c>
      <c r="BJ95" s="49">
        <v>0</v>
      </c>
      <c r="BK95" s="50">
        <v>0</v>
      </c>
      <c r="BL95" s="49">
        <v>12</v>
      </c>
      <c r="BM95" s="50">
        <v>100</v>
      </c>
      <c r="BN95" s="49">
        <v>12</v>
      </c>
    </row>
    <row r="96" spans="1:66" ht="15">
      <c r="A96" s="65" t="s">
        <v>315</v>
      </c>
      <c r="B96" s="65" t="s">
        <v>315</v>
      </c>
      <c r="C96" s="66"/>
      <c r="D96" s="67"/>
      <c r="E96" s="66"/>
      <c r="F96" s="69"/>
      <c r="G96" s="66"/>
      <c r="H96" s="70"/>
      <c r="I96" s="71"/>
      <c r="J96" s="71"/>
      <c r="K96" s="35" t="s">
        <v>65</v>
      </c>
      <c r="L96" s="72">
        <v>178</v>
      </c>
      <c r="M96" s="72"/>
      <c r="N96" s="73"/>
      <c r="O96" s="80" t="s">
        <v>196</v>
      </c>
      <c r="P96" s="82">
        <v>44479.68769675926</v>
      </c>
      <c r="Q96" s="80" t="s">
        <v>466</v>
      </c>
      <c r="R96" s="80" t="s">
        <v>510</v>
      </c>
      <c r="S96" s="80" t="s">
        <v>539</v>
      </c>
      <c r="T96" s="83" t="s">
        <v>559</v>
      </c>
      <c r="U96" s="80"/>
      <c r="V96" s="85" t="str">
        <f>HYPERLINK("https://pbs.twimg.com/profile_images/1235445624582987776/EWHHKoBp_normal.jpg")</f>
        <v>https://pbs.twimg.com/profile_images/1235445624582987776/EWHHKoBp_normal.jpg</v>
      </c>
      <c r="W96" s="82">
        <v>44479.68769675926</v>
      </c>
      <c r="X96" s="87">
        <v>44479</v>
      </c>
      <c r="Y96" s="83" t="s">
        <v>660</v>
      </c>
      <c r="Z96" s="85" t="str">
        <f>HYPERLINK("https://twitter.com/ttranpham/status/1447238062384287744")</f>
        <v>https://twitter.com/ttranpham/status/1447238062384287744</v>
      </c>
      <c r="AA96" s="80"/>
      <c r="AB96" s="80"/>
      <c r="AC96" s="83" t="s">
        <v>843</v>
      </c>
      <c r="AD96" s="80"/>
      <c r="AE96" s="80" t="b">
        <v>0</v>
      </c>
      <c r="AF96" s="80">
        <v>0</v>
      </c>
      <c r="AG96" s="83" t="s">
        <v>952</v>
      </c>
      <c r="AH96" s="80" t="b">
        <v>0</v>
      </c>
      <c r="AI96" s="80" t="s">
        <v>967</v>
      </c>
      <c r="AJ96" s="80"/>
      <c r="AK96" s="83" t="s">
        <v>952</v>
      </c>
      <c r="AL96" s="80" t="b">
        <v>0</v>
      </c>
      <c r="AM96" s="80">
        <v>0</v>
      </c>
      <c r="AN96" s="83" t="s">
        <v>952</v>
      </c>
      <c r="AO96" s="83" t="s">
        <v>977</v>
      </c>
      <c r="AP96" s="80" t="b">
        <v>0</v>
      </c>
      <c r="AQ96" s="83" t="s">
        <v>843</v>
      </c>
      <c r="AR96" s="80" t="s">
        <v>196</v>
      </c>
      <c r="AS96" s="80">
        <v>0</v>
      </c>
      <c r="AT96" s="80">
        <v>0</v>
      </c>
      <c r="AU96" s="80"/>
      <c r="AV96" s="80"/>
      <c r="AW96" s="80"/>
      <c r="AX96" s="80"/>
      <c r="AY96" s="80"/>
      <c r="AZ96" s="80"/>
      <c r="BA96" s="80"/>
      <c r="BB96" s="80"/>
      <c r="BC96">
        <v>1</v>
      </c>
      <c r="BD96" s="79" t="str">
        <f>REPLACE(INDEX(GroupVertices[Group],MATCH(Edges25[[#This Row],[Vertex 1]],GroupVertices[Vertex],0)),1,1,"")</f>
        <v>2</v>
      </c>
      <c r="BE96" s="79" t="str">
        <f>REPLACE(INDEX(GroupVertices[Group],MATCH(Edges25[[#This Row],[Vertex 2]],GroupVertices[Vertex],0)),1,1,"")</f>
        <v>2</v>
      </c>
      <c r="BF96" s="49">
        <v>0</v>
      </c>
      <c r="BG96" s="50">
        <v>0</v>
      </c>
      <c r="BH96" s="49">
        <v>0</v>
      </c>
      <c r="BI96" s="50">
        <v>0</v>
      </c>
      <c r="BJ96" s="49">
        <v>0</v>
      </c>
      <c r="BK96" s="50">
        <v>0</v>
      </c>
      <c r="BL96" s="49">
        <v>16</v>
      </c>
      <c r="BM96" s="50">
        <v>100</v>
      </c>
      <c r="BN96" s="49">
        <v>16</v>
      </c>
    </row>
    <row r="97" spans="1:66" ht="15">
      <c r="A97" s="65" t="s">
        <v>316</v>
      </c>
      <c r="B97" s="65" t="s">
        <v>394</v>
      </c>
      <c r="C97" s="66"/>
      <c r="D97" s="67"/>
      <c r="E97" s="66"/>
      <c r="F97" s="69"/>
      <c r="G97" s="66"/>
      <c r="H97" s="70"/>
      <c r="I97" s="71"/>
      <c r="J97" s="71"/>
      <c r="K97" s="35" t="s">
        <v>65</v>
      </c>
      <c r="L97" s="72">
        <v>179</v>
      </c>
      <c r="M97" s="72"/>
      <c r="N97" s="73"/>
      <c r="O97" s="80" t="s">
        <v>406</v>
      </c>
      <c r="P97" s="82">
        <v>44479.52831018518</v>
      </c>
      <c r="Q97" s="80" t="s">
        <v>467</v>
      </c>
      <c r="R97" s="85" t="str">
        <f>HYPERLINK("https://vegnews.com/2021/10/ashton-kutcher-cell-based-meat")</f>
        <v>https://vegnews.com/2021/10/ashton-kutcher-cell-based-meat</v>
      </c>
      <c r="S97" s="80" t="s">
        <v>532</v>
      </c>
      <c r="T97" s="80"/>
      <c r="U97" s="80"/>
      <c r="V97" s="85" t="str">
        <f>HYPERLINK("https://pbs.twimg.com/profile_images/1251222493559435264/__qt2TFb_normal.jpg")</f>
        <v>https://pbs.twimg.com/profile_images/1251222493559435264/__qt2TFb_normal.jpg</v>
      </c>
      <c r="W97" s="82">
        <v>44479.52831018518</v>
      </c>
      <c r="X97" s="87">
        <v>44479</v>
      </c>
      <c r="Y97" s="83" t="s">
        <v>661</v>
      </c>
      <c r="Z97" s="85" t="str">
        <f>HYPERLINK("https://twitter.com/koelnmesseinc/status/1447180303555039233")</f>
        <v>https://twitter.com/koelnmesseinc/status/1447180303555039233</v>
      </c>
      <c r="AA97" s="80"/>
      <c r="AB97" s="80"/>
      <c r="AC97" s="83" t="s">
        <v>844</v>
      </c>
      <c r="AD97" s="80"/>
      <c r="AE97" s="80" t="b">
        <v>0</v>
      </c>
      <c r="AF97" s="80">
        <v>0</v>
      </c>
      <c r="AG97" s="83" t="s">
        <v>952</v>
      </c>
      <c r="AH97" s="80" t="b">
        <v>0</v>
      </c>
      <c r="AI97" s="80" t="s">
        <v>967</v>
      </c>
      <c r="AJ97" s="80"/>
      <c r="AK97" s="83" t="s">
        <v>952</v>
      </c>
      <c r="AL97" s="80" t="b">
        <v>0</v>
      </c>
      <c r="AM97" s="80">
        <v>1</v>
      </c>
      <c r="AN97" s="83" t="s">
        <v>952</v>
      </c>
      <c r="AO97" s="83" t="s">
        <v>972</v>
      </c>
      <c r="AP97" s="80" t="b">
        <v>0</v>
      </c>
      <c r="AQ97" s="83" t="s">
        <v>844</v>
      </c>
      <c r="AR97" s="80" t="s">
        <v>196</v>
      </c>
      <c r="AS97" s="80">
        <v>0</v>
      </c>
      <c r="AT97" s="80">
        <v>0</v>
      </c>
      <c r="AU97" s="80"/>
      <c r="AV97" s="80"/>
      <c r="AW97" s="80"/>
      <c r="AX97" s="80"/>
      <c r="AY97" s="80"/>
      <c r="AZ97" s="80"/>
      <c r="BA97" s="80"/>
      <c r="BB97" s="80"/>
      <c r="BC97">
        <v>1</v>
      </c>
      <c r="BD97" s="79" t="str">
        <f>REPLACE(INDEX(GroupVertices[Group],MATCH(Edges25[[#This Row],[Vertex 1]],GroupVertices[Vertex],0)),1,1,"")</f>
        <v>4</v>
      </c>
      <c r="BE97" s="79" t="str">
        <f>REPLACE(INDEX(GroupVertices[Group],MATCH(Edges25[[#This Row],[Vertex 2]],GroupVertices[Vertex],0)),1,1,"")</f>
        <v>4</v>
      </c>
      <c r="BF97" s="49">
        <v>0</v>
      </c>
      <c r="BG97" s="50">
        <v>0</v>
      </c>
      <c r="BH97" s="49">
        <v>0</v>
      </c>
      <c r="BI97" s="50">
        <v>0</v>
      </c>
      <c r="BJ97" s="49">
        <v>0</v>
      </c>
      <c r="BK97" s="50">
        <v>0</v>
      </c>
      <c r="BL97" s="49">
        <v>20</v>
      </c>
      <c r="BM97" s="50">
        <v>100</v>
      </c>
      <c r="BN97" s="49">
        <v>20</v>
      </c>
    </row>
    <row r="98" spans="1:66" ht="15">
      <c r="A98" s="65" t="s">
        <v>317</v>
      </c>
      <c r="B98" s="65" t="s">
        <v>394</v>
      </c>
      <c r="C98" s="66"/>
      <c r="D98" s="67"/>
      <c r="E98" s="66"/>
      <c r="F98" s="69"/>
      <c r="G98" s="66"/>
      <c r="H98" s="70"/>
      <c r="I98" s="71"/>
      <c r="J98" s="71"/>
      <c r="K98" s="35" t="s">
        <v>65</v>
      </c>
      <c r="L98" s="72">
        <v>180</v>
      </c>
      <c r="M98" s="72"/>
      <c r="N98" s="73"/>
      <c r="O98" s="80" t="s">
        <v>407</v>
      </c>
      <c r="P98" s="82">
        <v>44479.74773148148</v>
      </c>
      <c r="Q98" s="80" t="s">
        <v>467</v>
      </c>
      <c r="R98" s="85" t="str">
        <f>HYPERLINK("https://vegnews.com/2021/10/ashton-kutcher-cell-based-meat")</f>
        <v>https://vegnews.com/2021/10/ashton-kutcher-cell-based-meat</v>
      </c>
      <c r="S98" s="80" t="s">
        <v>532</v>
      </c>
      <c r="T98" s="80"/>
      <c r="U98" s="80"/>
      <c r="V98" s="85" t="str">
        <f>HYPERLINK("https://pbs.twimg.com/profile_images/2709275057/94a5687e696c0e4af3c330f666bdc384_normal.jpeg")</f>
        <v>https://pbs.twimg.com/profile_images/2709275057/94a5687e696c0e4af3c330f666bdc384_normal.jpeg</v>
      </c>
      <c r="W98" s="82">
        <v>44479.74773148148</v>
      </c>
      <c r="X98" s="87">
        <v>44479</v>
      </c>
      <c r="Y98" s="83" t="s">
        <v>662</v>
      </c>
      <c r="Z98" s="85" t="str">
        <f>HYPERLINK("https://twitter.com/philliprussopov/status/1447259818385977346")</f>
        <v>https://twitter.com/philliprussopov/status/1447259818385977346</v>
      </c>
      <c r="AA98" s="80"/>
      <c r="AB98" s="80"/>
      <c r="AC98" s="83" t="s">
        <v>845</v>
      </c>
      <c r="AD98" s="80"/>
      <c r="AE98" s="80" t="b">
        <v>0</v>
      </c>
      <c r="AF98" s="80">
        <v>0</v>
      </c>
      <c r="AG98" s="83" t="s">
        <v>952</v>
      </c>
      <c r="AH98" s="80" t="b">
        <v>0</v>
      </c>
      <c r="AI98" s="80" t="s">
        <v>967</v>
      </c>
      <c r="AJ98" s="80"/>
      <c r="AK98" s="83" t="s">
        <v>952</v>
      </c>
      <c r="AL98" s="80" t="b">
        <v>0</v>
      </c>
      <c r="AM98" s="80">
        <v>1</v>
      </c>
      <c r="AN98" s="83" t="s">
        <v>844</v>
      </c>
      <c r="AO98" s="83" t="s">
        <v>972</v>
      </c>
      <c r="AP98" s="80" t="b">
        <v>0</v>
      </c>
      <c r="AQ98" s="83" t="s">
        <v>844</v>
      </c>
      <c r="AR98" s="80" t="s">
        <v>196</v>
      </c>
      <c r="AS98" s="80">
        <v>0</v>
      </c>
      <c r="AT98" s="80">
        <v>0</v>
      </c>
      <c r="AU98" s="80"/>
      <c r="AV98" s="80"/>
      <c r="AW98" s="80"/>
      <c r="AX98" s="80"/>
      <c r="AY98" s="80"/>
      <c r="AZ98" s="80"/>
      <c r="BA98" s="80"/>
      <c r="BB98" s="80"/>
      <c r="BC98">
        <v>1</v>
      </c>
      <c r="BD98" s="79" t="str">
        <f>REPLACE(INDEX(GroupVertices[Group],MATCH(Edges25[[#This Row],[Vertex 1]],GroupVertices[Vertex],0)),1,1,"")</f>
        <v>4</v>
      </c>
      <c r="BE98" s="79" t="str">
        <f>REPLACE(INDEX(GroupVertices[Group],MATCH(Edges25[[#This Row],[Vertex 2]],GroupVertices[Vertex],0)),1,1,"")</f>
        <v>4</v>
      </c>
      <c r="BF98" s="49"/>
      <c r="BG98" s="50"/>
      <c r="BH98" s="49"/>
      <c r="BI98" s="50"/>
      <c r="BJ98" s="49"/>
      <c r="BK98" s="50"/>
      <c r="BL98" s="49"/>
      <c r="BM98" s="50"/>
      <c r="BN98" s="49"/>
    </row>
    <row r="99" spans="1:66" ht="15">
      <c r="A99" s="65" t="s">
        <v>318</v>
      </c>
      <c r="B99" s="65" t="s">
        <v>319</v>
      </c>
      <c r="C99" s="66"/>
      <c r="D99" s="67"/>
      <c r="E99" s="66"/>
      <c r="F99" s="69"/>
      <c r="G99" s="66"/>
      <c r="H99" s="70"/>
      <c r="I99" s="71"/>
      <c r="J99" s="71"/>
      <c r="K99" s="35" t="s">
        <v>65</v>
      </c>
      <c r="L99" s="72">
        <v>186</v>
      </c>
      <c r="M99" s="72"/>
      <c r="N99" s="73"/>
      <c r="O99" s="80" t="s">
        <v>408</v>
      </c>
      <c r="P99" s="82">
        <v>44479.80997685185</v>
      </c>
      <c r="Q99" s="80" t="s">
        <v>420</v>
      </c>
      <c r="R99" s="85" t="str">
        <f>HYPERLINK("https://vision4thefuture.co/lab-made-dairy-products/")</f>
        <v>https://vision4thefuture.co/lab-made-dairy-products/</v>
      </c>
      <c r="S99" s="80" t="s">
        <v>519</v>
      </c>
      <c r="T99" s="83" t="s">
        <v>549</v>
      </c>
      <c r="U99" s="80"/>
      <c r="V99" s="85" t="str">
        <f>HYPERLINK("https://pbs.twimg.com/profile_images/1423802267937951745/MvyxLuiA_normal.jpg")</f>
        <v>https://pbs.twimg.com/profile_images/1423802267937951745/MvyxLuiA_normal.jpg</v>
      </c>
      <c r="W99" s="82">
        <v>44479.80997685185</v>
      </c>
      <c r="X99" s="87">
        <v>44479</v>
      </c>
      <c r="Y99" s="83" t="s">
        <v>663</v>
      </c>
      <c r="Z99" s="85" t="str">
        <f>HYPERLINK("https://twitter.com/rabigo369/status/1447282377781350408")</f>
        <v>https://twitter.com/rabigo369/status/1447282377781350408</v>
      </c>
      <c r="AA99" s="80"/>
      <c r="AB99" s="80"/>
      <c r="AC99" s="83" t="s">
        <v>846</v>
      </c>
      <c r="AD99" s="80"/>
      <c r="AE99" s="80" t="b">
        <v>0</v>
      </c>
      <c r="AF99" s="80">
        <v>0</v>
      </c>
      <c r="AG99" s="83" t="s">
        <v>952</v>
      </c>
      <c r="AH99" s="80" t="b">
        <v>0</v>
      </c>
      <c r="AI99" s="80" t="s">
        <v>967</v>
      </c>
      <c r="AJ99" s="80"/>
      <c r="AK99" s="83" t="s">
        <v>952</v>
      </c>
      <c r="AL99" s="80" t="b">
        <v>0</v>
      </c>
      <c r="AM99" s="80">
        <v>39</v>
      </c>
      <c r="AN99" s="83" t="s">
        <v>847</v>
      </c>
      <c r="AO99" s="83" t="s">
        <v>972</v>
      </c>
      <c r="AP99" s="80" t="b">
        <v>0</v>
      </c>
      <c r="AQ99" s="83" t="s">
        <v>847</v>
      </c>
      <c r="AR99" s="80" t="s">
        <v>196</v>
      </c>
      <c r="AS99" s="80">
        <v>0</v>
      </c>
      <c r="AT99" s="80">
        <v>0</v>
      </c>
      <c r="AU99" s="80"/>
      <c r="AV99" s="80"/>
      <c r="AW99" s="80"/>
      <c r="AX99" s="80"/>
      <c r="AY99" s="80"/>
      <c r="AZ99" s="80"/>
      <c r="BA99" s="80"/>
      <c r="BB99" s="80"/>
      <c r="BC99">
        <v>1</v>
      </c>
      <c r="BD99" s="79" t="str">
        <f>REPLACE(INDEX(GroupVertices[Group],MATCH(Edges25[[#This Row],[Vertex 1]],GroupVertices[Vertex],0)),1,1,"")</f>
        <v>7</v>
      </c>
      <c r="BE99" s="79" t="str">
        <f>REPLACE(INDEX(GroupVertices[Group],MATCH(Edges25[[#This Row],[Vertex 2]],GroupVertices[Vertex],0)),1,1,"")</f>
        <v>7</v>
      </c>
      <c r="BF99" s="49">
        <v>0</v>
      </c>
      <c r="BG99" s="50">
        <v>0</v>
      </c>
      <c r="BH99" s="49">
        <v>0</v>
      </c>
      <c r="BI99" s="50">
        <v>0</v>
      </c>
      <c r="BJ99" s="49">
        <v>0</v>
      </c>
      <c r="BK99" s="50">
        <v>0</v>
      </c>
      <c r="BL99" s="49">
        <v>34</v>
      </c>
      <c r="BM99" s="50">
        <v>100</v>
      </c>
      <c r="BN99" s="49">
        <v>34</v>
      </c>
    </row>
    <row r="100" spans="1:66" ht="15">
      <c r="A100" s="65" t="s">
        <v>319</v>
      </c>
      <c r="B100" s="65" t="s">
        <v>319</v>
      </c>
      <c r="C100" s="66"/>
      <c r="D100" s="67"/>
      <c r="E100" s="66"/>
      <c r="F100" s="69"/>
      <c r="G100" s="66"/>
      <c r="H100" s="70"/>
      <c r="I100" s="71"/>
      <c r="J100" s="71"/>
      <c r="K100" s="35" t="s">
        <v>65</v>
      </c>
      <c r="L100" s="72">
        <v>187</v>
      </c>
      <c r="M100" s="72"/>
      <c r="N100" s="73"/>
      <c r="O100" s="80" t="s">
        <v>196</v>
      </c>
      <c r="P100" s="82">
        <v>44468.83519675926</v>
      </c>
      <c r="Q100" s="80" t="s">
        <v>420</v>
      </c>
      <c r="R100" s="85" t="str">
        <f>HYPERLINK("https://vision4thefuture.co/lab-made-dairy-products/")</f>
        <v>https://vision4thefuture.co/lab-made-dairy-products/</v>
      </c>
      <c r="S100" s="80" t="s">
        <v>519</v>
      </c>
      <c r="T100" s="83" t="s">
        <v>549</v>
      </c>
      <c r="U100" s="80"/>
      <c r="V100" s="85" t="str">
        <f>HYPERLINK("https://pbs.twimg.com/profile_images/805508045635809280/5kx8JJ4g_normal.jpg")</f>
        <v>https://pbs.twimg.com/profile_images/805508045635809280/5kx8JJ4g_normal.jpg</v>
      </c>
      <c r="W100" s="82">
        <v>44468.83519675926</v>
      </c>
      <c r="X100" s="87">
        <v>44468</v>
      </c>
      <c r="Y100" s="83" t="s">
        <v>664</v>
      </c>
      <c r="Z100" s="85" t="str">
        <f>HYPERLINK("https://twitter.com/vision4future1/status/1443305248240676866")</f>
        <v>https://twitter.com/vision4future1/status/1443305248240676866</v>
      </c>
      <c r="AA100" s="80"/>
      <c r="AB100" s="80"/>
      <c r="AC100" s="83" t="s">
        <v>847</v>
      </c>
      <c r="AD100" s="80"/>
      <c r="AE100" s="80" t="b">
        <v>0</v>
      </c>
      <c r="AF100" s="80">
        <v>24</v>
      </c>
      <c r="AG100" s="83" t="s">
        <v>952</v>
      </c>
      <c r="AH100" s="80" t="b">
        <v>0</v>
      </c>
      <c r="AI100" s="80" t="s">
        <v>967</v>
      </c>
      <c r="AJ100" s="80"/>
      <c r="AK100" s="83" t="s">
        <v>952</v>
      </c>
      <c r="AL100" s="80" t="b">
        <v>0</v>
      </c>
      <c r="AM100" s="80">
        <v>39</v>
      </c>
      <c r="AN100" s="83" t="s">
        <v>952</v>
      </c>
      <c r="AO100" s="83" t="s">
        <v>972</v>
      </c>
      <c r="AP100" s="80" t="b">
        <v>0</v>
      </c>
      <c r="AQ100" s="83" t="s">
        <v>847</v>
      </c>
      <c r="AR100" s="80" t="s">
        <v>408</v>
      </c>
      <c r="AS100" s="80">
        <v>0</v>
      </c>
      <c r="AT100" s="80">
        <v>0</v>
      </c>
      <c r="AU100" s="80"/>
      <c r="AV100" s="80"/>
      <c r="AW100" s="80"/>
      <c r="AX100" s="80"/>
      <c r="AY100" s="80"/>
      <c r="AZ100" s="80"/>
      <c r="BA100" s="80"/>
      <c r="BB100" s="80"/>
      <c r="BC100">
        <v>1</v>
      </c>
      <c r="BD100" s="79" t="str">
        <f>REPLACE(INDEX(GroupVertices[Group],MATCH(Edges25[[#This Row],[Vertex 1]],GroupVertices[Vertex],0)),1,1,"")</f>
        <v>7</v>
      </c>
      <c r="BE100" s="79" t="str">
        <f>REPLACE(INDEX(GroupVertices[Group],MATCH(Edges25[[#This Row],[Vertex 2]],GroupVertices[Vertex],0)),1,1,"")</f>
        <v>7</v>
      </c>
      <c r="BF100" s="49">
        <v>0</v>
      </c>
      <c r="BG100" s="50">
        <v>0</v>
      </c>
      <c r="BH100" s="49">
        <v>0</v>
      </c>
      <c r="BI100" s="50">
        <v>0</v>
      </c>
      <c r="BJ100" s="49">
        <v>0</v>
      </c>
      <c r="BK100" s="50">
        <v>0</v>
      </c>
      <c r="BL100" s="49">
        <v>34</v>
      </c>
      <c r="BM100" s="50">
        <v>100</v>
      </c>
      <c r="BN100" s="49">
        <v>34</v>
      </c>
    </row>
    <row r="101" spans="1:66" ht="15">
      <c r="A101" s="65" t="s">
        <v>320</v>
      </c>
      <c r="B101" s="65" t="s">
        <v>319</v>
      </c>
      <c r="C101" s="66"/>
      <c r="D101" s="67"/>
      <c r="E101" s="66"/>
      <c r="F101" s="69"/>
      <c r="G101" s="66"/>
      <c r="H101" s="70"/>
      <c r="I101" s="71"/>
      <c r="J101" s="71"/>
      <c r="K101" s="35" t="s">
        <v>65</v>
      </c>
      <c r="L101" s="72">
        <v>188</v>
      </c>
      <c r="M101" s="72"/>
      <c r="N101" s="73"/>
      <c r="O101" s="80" t="s">
        <v>408</v>
      </c>
      <c r="P101" s="82">
        <v>44479.810636574075</v>
      </c>
      <c r="Q101" s="80" t="s">
        <v>420</v>
      </c>
      <c r="R101" s="85" t="str">
        <f>HYPERLINK("https://vision4thefuture.co/lab-made-dairy-products/")</f>
        <v>https://vision4thefuture.co/lab-made-dairy-products/</v>
      </c>
      <c r="S101" s="80" t="s">
        <v>519</v>
      </c>
      <c r="T101" s="83" t="s">
        <v>549</v>
      </c>
      <c r="U101" s="80"/>
      <c r="V101" s="85" t="str">
        <f>HYPERLINK("https://pbs.twimg.com/profile_images/1195955022196101120/ETMR2hp4_normal.jpg")</f>
        <v>https://pbs.twimg.com/profile_images/1195955022196101120/ETMR2hp4_normal.jpg</v>
      </c>
      <c r="W101" s="82">
        <v>44479.810636574075</v>
      </c>
      <c r="X101" s="87">
        <v>44479</v>
      </c>
      <c r="Y101" s="83" t="s">
        <v>665</v>
      </c>
      <c r="Z101" s="85" t="str">
        <f>HYPERLINK("https://twitter.com/oracleatmushin/status/1447282615958978560")</f>
        <v>https://twitter.com/oracleatmushin/status/1447282615958978560</v>
      </c>
      <c r="AA101" s="80"/>
      <c r="AB101" s="80"/>
      <c r="AC101" s="83" t="s">
        <v>848</v>
      </c>
      <c r="AD101" s="80"/>
      <c r="AE101" s="80" t="b">
        <v>0</v>
      </c>
      <c r="AF101" s="80">
        <v>0</v>
      </c>
      <c r="AG101" s="83" t="s">
        <v>952</v>
      </c>
      <c r="AH101" s="80" t="b">
        <v>0</v>
      </c>
      <c r="AI101" s="80" t="s">
        <v>967</v>
      </c>
      <c r="AJ101" s="80"/>
      <c r="AK101" s="83" t="s">
        <v>952</v>
      </c>
      <c r="AL101" s="80" t="b">
        <v>0</v>
      </c>
      <c r="AM101" s="80">
        <v>39</v>
      </c>
      <c r="AN101" s="83" t="s">
        <v>847</v>
      </c>
      <c r="AO101" s="83" t="s">
        <v>972</v>
      </c>
      <c r="AP101" s="80" t="b">
        <v>0</v>
      </c>
      <c r="AQ101" s="83" t="s">
        <v>847</v>
      </c>
      <c r="AR101" s="80" t="s">
        <v>196</v>
      </c>
      <c r="AS101" s="80">
        <v>0</v>
      </c>
      <c r="AT101" s="80">
        <v>0</v>
      </c>
      <c r="AU101" s="80"/>
      <c r="AV101" s="80"/>
      <c r="AW101" s="80"/>
      <c r="AX101" s="80"/>
      <c r="AY101" s="80"/>
      <c r="AZ101" s="80"/>
      <c r="BA101" s="80"/>
      <c r="BB101" s="80"/>
      <c r="BC101">
        <v>1</v>
      </c>
      <c r="BD101" s="79" t="str">
        <f>REPLACE(INDEX(GroupVertices[Group],MATCH(Edges25[[#This Row],[Vertex 1]],GroupVertices[Vertex],0)),1,1,"")</f>
        <v>7</v>
      </c>
      <c r="BE101" s="79" t="str">
        <f>REPLACE(INDEX(GroupVertices[Group],MATCH(Edges25[[#This Row],[Vertex 2]],GroupVertices[Vertex],0)),1,1,"")</f>
        <v>7</v>
      </c>
      <c r="BF101" s="49">
        <v>0</v>
      </c>
      <c r="BG101" s="50">
        <v>0</v>
      </c>
      <c r="BH101" s="49">
        <v>0</v>
      </c>
      <c r="BI101" s="50">
        <v>0</v>
      </c>
      <c r="BJ101" s="49">
        <v>0</v>
      </c>
      <c r="BK101" s="50">
        <v>0</v>
      </c>
      <c r="BL101" s="49">
        <v>34</v>
      </c>
      <c r="BM101" s="50">
        <v>100</v>
      </c>
      <c r="BN101" s="49">
        <v>34</v>
      </c>
    </row>
    <row r="102" spans="1:66" ht="15">
      <c r="A102" s="65" t="s">
        <v>321</v>
      </c>
      <c r="B102" s="65" t="s">
        <v>377</v>
      </c>
      <c r="C102" s="66"/>
      <c r="D102" s="67"/>
      <c r="E102" s="66"/>
      <c r="F102" s="69"/>
      <c r="G102" s="66"/>
      <c r="H102" s="70"/>
      <c r="I102" s="71"/>
      <c r="J102" s="71"/>
      <c r="K102" s="35" t="s">
        <v>65</v>
      </c>
      <c r="L102" s="72">
        <v>189</v>
      </c>
      <c r="M102" s="72"/>
      <c r="N102" s="73"/>
      <c r="O102" s="80" t="s">
        <v>407</v>
      </c>
      <c r="P102" s="82">
        <v>44476.417395833334</v>
      </c>
      <c r="Q102" s="80" t="s">
        <v>432</v>
      </c>
      <c r="R102" s="85" t="str">
        <f>HYPERLINK("https://econ.trib.al/UuLdSAj")</f>
        <v>https://econ.trib.al/UuLdSAj</v>
      </c>
      <c r="S102" s="80" t="s">
        <v>528</v>
      </c>
      <c r="T102" s="80"/>
      <c r="U102" s="80"/>
      <c r="V102" s="85" t="str">
        <f>HYPERLINK("https://abs.twimg.com/sticky/default_profile_images/default_profile_normal.png")</f>
        <v>https://abs.twimg.com/sticky/default_profile_images/default_profile_normal.png</v>
      </c>
      <c r="W102" s="82">
        <v>44476.417395833334</v>
      </c>
      <c r="X102" s="87">
        <v>44476</v>
      </c>
      <c r="Y102" s="83" t="s">
        <v>666</v>
      </c>
      <c r="Z102" s="85" t="str">
        <f>HYPERLINK("https://twitter.com/deduped_economi/status/1446052947452784649")</f>
        <v>https://twitter.com/deduped_economi/status/1446052947452784649</v>
      </c>
      <c r="AA102" s="80"/>
      <c r="AB102" s="80"/>
      <c r="AC102" s="83" t="s">
        <v>849</v>
      </c>
      <c r="AD102" s="80"/>
      <c r="AE102" s="80" t="b">
        <v>0</v>
      </c>
      <c r="AF102" s="80">
        <v>0</v>
      </c>
      <c r="AG102" s="83" t="s">
        <v>952</v>
      </c>
      <c r="AH102" s="80" t="b">
        <v>0</v>
      </c>
      <c r="AI102" s="80" t="s">
        <v>967</v>
      </c>
      <c r="AJ102" s="80"/>
      <c r="AK102" s="83" t="s">
        <v>952</v>
      </c>
      <c r="AL102" s="80" t="b">
        <v>0</v>
      </c>
      <c r="AM102" s="80">
        <v>11</v>
      </c>
      <c r="AN102" s="83" t="s">
        <v>894</v>
      </c>
      <c r="AO102" s="83" t="s">
        <v>989</v>
      </c>
      <c r="AP102" s="80" t="b">
        <v>0</v>
      </c>
      <c r="AQ102" s="83" t="s">
        <v>894</v>
      </c>
      <c r="AR102" s="80" t="s">
        <v>196</v>
      </c>
      <c r="AS102" s="80">
        <v>0</v>
      </c>
      <c r="AT102" s="80">
        <v>0</v>
      </c>
      <c r="AU102" s="80"/>
      <c r="AV102" s="80"/>
      <c r="AW102" s="80"/>
      <c r="AX102" s="80"/>
      <c r="AY102" s="80"/>
      <c r="AZ102" s="80"/>
      <c r="BA102" s="80"/>
      <c r="BB102" s="80"/>
      <c r="BC102">
        <v>3</v>
      </c>
      <c r="BD102" s="79" t="str">
        <f>REPLACE(INDEX(GroupVertices[Group],MATCH(Edges25[[#This Row],[Vertex 1]],GroupVertices[Vertex],0)),1,1,"")</f>
        <v>1</v>
      </c>
      <c r="BE102" s="79" t="str">
        <f>REPLACE(INDEX(GroupVertices[Group],MATCH(Edges25[[#This Row],[Vertex 2]],GroupVertices[Vertex],0)),1,1,"")</f>
        <v>1</v>
      </c>
      <c r="BF102" s="49"/>
      <c r="BG102" s="50"/>
      <c r="BH102" s="49"/>
      <c r="BI102" s="50"/>
      <c r="BJ102" s="49"/>
      <c r="BK102" s="50"/>
      <c r="BL102" s="49"/>
      <c r="BM102" s="50"/>
      <c r="BN102" s="49"/>
    </row>
    <row r="103" spans="1:66" ht="15">
      <c r="A103" s="65" t="s">
        <v>321</v>
      </c>
      <c r="B103" s="65" t="s">
        <v>377</v>
      </c>
      <c r="C103" s="66"/>
      <c r="D103" s="67"/>
      <c r="E103" s="66"/>
      <c r="F103" s="69"/>
      <c r="G103" s="66"/>
      <c r="H103" s="70"/>
      <c r="I103" s="71"/>
      <c r="J103" s="71"/>
      <c r="K103" s="35" t="s">
        <v>65</v>
      </c>
      <c r="L103" s="72">
        <v>193</v>
      </c>
      <c r="M103" s="72"/>
      <c r="N103" s="73"/>
      <c r="O103" s="80" t="s">
        <v>407</v>
      </c>
      <c r="P103" s="82">
        <v>44478.16738425926</v>
      </c>
      <c r="Q103" s="80" t="s">
        <v>452</v>
      </c>
      <c r="R103" s="85" t="str">
        <f>HYPERLINK("https://econ.trib.al/B6siniM")</f>
        <v>https://econ.trib.al/B6siniM</v>
      </c>
      <c r="S103" s="80" t="s">
        <v>528</v>
      </c>
      <c r="T103" s="80"/>
      <c r="U103" s="80"/>
      <c r="V103" s="85" t="str">
        <f>HYPERLINK("https://abs.twimg.com/sticky/default_profile_images/default_profile_normal.png")</f>
        <v>https://abs.twimg.com/sticky/default_profile_images/default_profile_normal.png</v>
      </c>
      <c r="W103" s="82">
        <v>44478.16738425926</v>
      </c>
      <c r="X103" s="87">
        <v>44478</v>
      </c>
      <c r="Y103" s="83" t="s">
        <v>667</v>
      </c>
      <c r="Z103" s="85" t="str">
        <f>HYPERLINK("https://twitter.com/deduped_economi/status/1446687122274983938")</f>
        <v>https://twitter.com/deduped_economi/status/1446687122274983938</v>
      </c>
      <c r="AA103" s="80"/>
      <c r="AB103" s="80"/>
      <c r="AC103" s="83" t="s">
        <v>850</v>
      </c>
      <c r="AD103" s="80"/>
      <c r="AE103" s="80" t="b">
        <v>0</v>
      </c>
      <c r="AF103" s="80">
        <v>0</v>
      </c>
      <c r="AG103" s="83" t="s">
        <v>952</v>
      </c>
      <c r="AH103" s="80" t="b">
        <v>0</v>
      </c>
      <c r="AI103" s="80" t="s">
        <v>967</v>
      </c>
      <c r="AJ103" s="80"/>
      <c r="AK103" s="83" t="s">
        <v>952</v>
      </c>
      <c r="AL103" s="80" t="b">
        <v>0</v>
      </c>
      <c r="AM103" s="80">
        <v>12</v>
      </c>
      <c r="AN103" s="83" t="s">
        <v>895</v>
      </c>
      <c r="AO103" s="83" t="s">
        <v>989</v>
      </c>
      <c r="AP103" s="80" t="b">
        <v>0</v>
      </c>
      <c r="AQ103" s="83" t="s">
        <v>895</v>
      </c>
      <c r="AR103" s="80" t="s">
        <v>196</v>
      </c>
      <c r="AS103" s="80">
        <v>0</v>
      </c>
      <c r="AT103" s="80">
        <v>0</v>
      </c>
      <c r="AU103" s="80"/>
      <c r="AV103" s="80"/>
      <c r="AW103" s="80"/>
      <c r="AX103" s="80"/>
      <c r="AY103" s="80"/>
      <c r="AZ103" s="80"/>
      <c r="BA103" s="80"/>
      <c r="BB103" s="80"/>
      <c r="BC103">
        <v>3</v>
      </c>
      <c r="BD103" s="79" t="str">
        <f>REPLACE(INDEX(GroupVertices[Group],MATCH(Edges25[[#This Row],[Vertex 1]],GroupVertices[Vertex],0)),1,1,"")</f>
        <v>1</v>
      </c>
      <c r="BE103" s="79" t="str">
        <f>REPLACE(INDEX(GroupVertices[Group],MATCH(Edges25[[#This Row],[Vertex 2]],GroupVertices[Vertex],0)),1,1,"")</f>
        <v>1</v>
      </c>
      <c r="BF103" s="49"/>
      <c r="BG103" s="50"/>
      <c r="BH103" s="49"/>
      <c r="BI103" s="50"/>
      <c r="BJ103" s="49"/>
      <c r="BK103" s="50"/>
      <c r="BL103" s="49"/>
      <c r="BM103" s="50"/>
      <c r="BN103" s="49"/>
    </row>
    <row r="104" spans="1:66" ht="15">
      <c r="A104" s="65" t="s">
        <v>321</v>
      </c>
      <c r="B104" s="65" t="s">
        <v>377</v>
      </c>
      <c r="C104" s="66"/>
      <c r="D104" s="67"/>
      <c r="E104" s="66"/>
      <c r="F104" s="69"/>
      <c r="G104" s="66"/>
      <c r="H104" s="70"/>
      <c r="I104" s="71"/>
      <c r="J104" s="71"/>
      <c r="K104" s="35" t="s">
        <v>65</v>
      </c>
      <c r="L104" s="72">
        <v>197</v>
      </c>
      <c r="M104" s="72"/>
      <c r="N104" s="73"/>
      <c r="O104" s="80" t="s">
        <v>407</v>
      </c>
      <c r="P104" s="82">
        <v>44480.167395833334</v>
      </c>
      <c r="Q104" s="80" t="s">
        <v>468</v>
      </c>
      <c r="R104" s="85" t="str">
        <f>HYPERLINK("https://econ.trib.al/w1YeE88")</f>
        <v>https://econ.trib.al/w1YeE88</v>
      </c>
      <c r="S104" s="80" t="s">
        <v>528</v>
      </c>
      <c r="T104" s="80"/>
      <c r="U104" s="80"/>
      <c r="V104" s="85" t="str">
        <f>HYPERLINK("https://abs.twimg.com/sticky/default_profile_images/default_profile_normal.png")</f>
        <v>https://abs.twimg.com/sticky/default_profile_images/default_profile_normal.png</v>
      </c>
      <c r="W104" s="82">
        <v>44480.167395833334</v>
      </c>
      <c r="X104" s="87">
        <v>44480</v>
      </c>
      <c r="Y104" s="83" t="s">
        <v>668</v>
      </c>
      <c r="Z104" s="85" t="str">
        <f>HYPERLINK("https://twitter.com/deduped_economi/status/1447411899197317127")</f>
        <v>https://twitter.com/deduped_economi/status/1447411899197317127</v>
      </c>
      <c r="AA104" s="80"/>
      <c r="AB104" s="80"/>
      <c r="AC104" s="83" t="s">
        <v>851</v>
      </c>
      <c r="AD104" s="80"/>
      <c r="AE104" s="80" t="b">
        <v>0</v>
      </c>
      <c r="AF104" s="80">
        <v>0</v>
      </c>
      <c r="AG104" s="83" t="s">
        <v>952</v>
      </c>
      <c r="AH104" s="80" t="b">
        <v>0</v>
      </c>
      <c r="AI104" s="80" t="s">
        <v>967</v>
      </c>
      <c r="AJ104" s="80"/>
      <c r="AK104" s="83" t="s">
        <v>952</v>
      </c>
      <c r="AL104" s="80" t="b">
        <v>0</v>
      </c>
      <c r="AM104" s="80">
        <v>10</v>
      </c>
      <c r="AN104" s="83" t="s">
        <v>896</v>
      </c>
      <c r="AO104" s="83" t="s">
        <v>989</v>
      </c>
      <c r="AP104" s="80" t="b">
        <v>0</v>
      </c>
      <c r="AQ104" s="83" t="s">
        <v>896</v>
      </c>
      <c r="AR104" s="80" t="s">
        <v>196</v>
      </c>
      <c r="AS104" s="80">
        <v>0</v>
      </c>
      <c r="AT104" s="80">
        <v>0</v>
      </c>
      <c r="AU104" s="80"/>
      <c r="AV104" s="80"/>
      <c r="AW104" s="80"/>
      <c r="AX104" s="80"/>
      <c r="AY104" s="80"/>
      <c r="AZ104" s="80"/>
      <c r="BA104" s="80"/>
      <c r="BB104" s="80"/>
      <c r="BC104">
        <v>3</v>
      </c>
      <c r="BD104" s="79" t="str">
        <f>REPLACE(INDEX(GroupVertices[Group],MATCH(Edges25[[#This Row],[Vertex 1]],GroupVertices[Vertex],0)),1,1,"")</f>
        <v>1</v>
      </c>
      <c r="BE104" s="79" t="str">
        <f>REPLACE(INDEX(GroupVertices[Group],MATCH(Edges25[[#This Row],[Vertex 2]],GroupVertices[Vertex],0)),1,1,"")</f>
        <v>1</v>
      </c>
      <c r="BF104" s="49"/>
      <c r="BG104" s="50"/>
      <c r="BH104" s="49"/>
      <c r="BI104" s="50"/>
      <c r="BJ104" s="49"/>
      <c r="BK104" s="50"/>
      <c r="BL104" s="49"/>
      <c r="BM104" s="50"/>
      <c r="BN104" s="49"/>
    </row>
    <row r="105" spans="1:66" ht="15">
      <c r="A105" s="65" t="s">
        <v>322</v>
      </c>
      <c r="B105" s="65" t="s">
        <v>377</v>
      </c>
      <c r="C105" s="66"/>
      <c r="D105" s="67"/>
      <c r="E105" s="66"/>
      <c r="F105" s="69"/>
      <c r="G105" s="66"/>
      <c r="H105" s="70"/>
      <c r="I105" s="71"/>
      <c r="J105" s="71"/>
      <c r="K105" s="35" t="s">
        <v>65</v>
      </c>
      <c r="L105" s="72">
        <v>201</v>
      </c>
      <c r="M105" s="72"/>
      <c r="N105" s="73"/>
      <c r="O105" s="80" t="s">
        <v>407</v>
      </c>
      <c r="P105" s="82">
        <v>44480.16773148148</v>
      </c>
      <c r="Q105" s="80" t="s">
        <v>468</v>
      </c>
      <c r="R105" s="85" t="str">
        <f>HYPERLINK("https://econ.trib.al/w1YeE88")</f>
        <v>https://econ.trib.al/w1YeE88</v>
      </c>
      <c r="S105" s="80" t="s">
        <v>528</v>
      </c>
      <c r="T105" s="80"/>
      <c r="U105" s="80"/>
      <c r="V105" s="85" t="str">
        <f>HYPERLINK("https://abs.twimg.com/sticky/default_profile_images/default_profile_normal.png")</f>
        <v>https://abs.twimg.com/sticky/default_profile_images/default_profile_normal.png</v>
      </c>
      <c r="W105" s="82">
        <v>44480.16773148148</v>
      </c>
      <c r="X105" s="87">
        <v>44480</v>
      </c>
      <c r="Y105" s="83" t="s">
        <v>669</v>
      </c>
      <c r="Z105" s="85" t="str">
        <f>HYPERLINK("https://twitter.com/jamescounihan1/status/1447412023655124997")</f>
        <v>https://twitter.com/jamescounihan1/status/1447412023655124997</v>
      </c>
      <c r="AA105" s="80"/>
      <c r="AB105" s="80"/>
      <c r="AC105" s="83" t="s">
        <v>852</v>
      </c>
      <c r="AD105" s="80"/>
      <c r="AE105" s="80" t="b">
        <v>0</v>
      </c>
      <c r="AF105" s="80">
        <v>0</v>
      </c>
      <c r="AG105" s="83" t="s">
        <v>952</v>
      </c>
      <c r="AH105" s="80" t="b">
        <v>0</v>
      </c>
      <c r="AI105" s="80" t="s">
        <v>967</v>
      </c>
      <c r="AJ105" s="80"/>
      <c r="AK105" s="83" t="s">
        <v>952</v>
      </c>
      <c r="AL105" s="80" t="b">
        <v>0</v>
      </c>
      <c r="AM105" s="80">
        <v>10</v>
      </c>
      <c r="AN105" s="83" t="s">
        <v>896</v>
      </c>
      <c r="AO105" s="83" t="s">
        <v>979</v>
      </c>
      <c r="AP105" s="80" t="b">
        <v>0</v>
      </c>
      <c r="AQ105" s="83" t="s">
        <v>896</v>
      </c>
      <c r="AR105" s="80" t="s">
        <v>196</v>
      </c>
      <c r="AS105" s="80">
        <v>0</v>
      </c>
      <c r="AT105" s="80">
        <v>0</v>
      </c>
      <c r="AU105" s="80"/>
      <c r="AV105" s="80"/>
      <c r="AW105" s="80"/>
      <c r="AX105" s="80"/>
      <c r="AY105" s="80"/>
      <c r="AZ105" s="80"/>
      <c r="BA105" s="80"/>
      <c r="BB105" s="80"/>
      <c r="BC105">
        <v>1</v>
      </c>
      <c r="BD105" s="79" t="str">
        <f>REPLACE(INDEX(GroupVertices[Group],MATCH(Edges25[[#This Row],[Vertex 1]],GroupVertices[Vertex],0)),1,1,"")</f>
        <v>1</v>
      </c>
      <c r="BE105" s="79" t="str">
        <f>REPLACE(INDEX(GroupVertices[Group],MATCH(Edges25[[#This Row],[Vertex 2]],GroupVertices[Vertex],0)),1,1,"")</f>
        <v>1</v>
      </c>
      <c r="BF105" s="49"/>
      <c r="BG105" s="50"/>
      <c r="BH105" s="49"/>
      <c r="BI105" s="50"/>
      <c r="BJ105" s="49"/>
      <c r="BK105" s="50"/>
      <c r="BL105" s="49"/>
      <c r="BM105" s="50"/>
      <c r="BN105" s="49"/>
    </row>
    <row r="106" spans="1:66" ht="15">
      <c r="A106" s="65" t="s">
        <v>323</v>
      </c>
      <c r="B106" s="65" t="s">
        <v>377</v>
      </c>
      <c r="C106" s="66"/>
      <c r="D106" s="67"/>
      <c r="E106" s="66"/>
      <c r="F106" s="69"/>
      <c r="G106" s="66"/>
      <c r="H106" s="70"/>
      <c r="I106" s="71"/>
      <c r="J106" s="71"/>
      <c r="K106" s="35" t="s">
        <v>65</v>
      </c>
      <c r="L106" s="72">
        <v>205</v>
      </c>
      <c r="M106" s="72"/>
      <c r="N106" s="73"/>
      <c r="O106" s="80" t="s">
        <v>407</v>
      </c>
      <c r="P106" s="82">
        <v>44480.168657407405</v>
      </c>
      <c r="Q106" s="80" t="s">
        <v>468</v>
      </c>
      <c r="R106" s="85" t="str">
        <f>HYPERLINK("https://econ.trib.al/w1YeE88")</f>
        <v>https://econ.trib.al/w1YeE88</v>
      </c>
      <c r="S106" s="80" t="s">
        <v>528</v>
      </c>
      <c r="T106" s="80"/>
      <c r="U106" s="80"/>
      <c r="V106" s="85" t="str">
        <f>HYPERLINK("https://pbs.twimg.com/profile_images/1298964287449251840/K2O2_Mya_normal.jpg")</f>
        <v>https://pbs.twimg.com/profile_images/1298964287449251840/K2O2_Mya_normal.jpg</v>
      </c>
      <c r="W106" s="82">
        <v>44480.168657407405</v>
      </c>
      <c r="X106" s="87">
        <v>44480</v>
      </c>
      <c r="Y106" s="83" t="s">
        <v>670</v>
      </c>
      <c r="Z106" s="85" t="str">
        <f>HYPERLINK("https://twitter.com/soap0928913/status/1447412356724576261")</f>
        <v>https://twitter.com/soap0928913/status/1447412356724576261</v>
      </c>
      <c r="AA106" s="80"/>
      <c r="AB106" s="80"/>
      <c r="AC106" s="83" t="s">
        <v>853</v>
      </c>
      <c r="AD106" s="80"/>
      <c r="AE106" s="80" t="b">
        <v>0</v>
      </c>
      <c r="AF106" s="80">
        <v>0</v>
      </c>
      <c r="AG106" s="83" t="s">
        <v>952</v>
      </c>
      <c r="AH106" s="80" t="b">
        <v>0</v>
      </c>
      <c r="AI106" s="80" t="s">
        <v>967</v>
      </c>
      <c r="AJ106" s="80"/>
      <c r="AK106" s="83" t="s">
        <v>952</v>
      </c>
      <c r="AL106" s="80" t="b">
        <v>0</v>
      </c>
      <c r="AM106" s="80">
        <v>10</v>
      </c>
      <c r="AN106" s="83" t="s">
        <v>896</v>
      </c>
      <c r="AO106" s="83" t="s">
        <v>972</v>
      </c>
      <c r="AP106" s="80" t="b">
        <v>0</v>
      </c>
      <c r="AQ106" s="83" t="s">
        <v>896</v>
      </c>
      <c r="AR106" s="80" t="s">
        <v>196</v>
      </c>
      <c r="AS106" s="80">
        <v>0</v>
      </c>
      <c r="AT106" s="80">
        <v>0</v>
      </c>
      <c r="AU106" s="80"/>
      <c r="AV106" s="80"/>
      <c r="AW106" s="80"/>
      <c r="AX106" s="80"/>
      <c r="AY106" s="80"/>
      <c r="AZ106" s="80"/>
      <c r="BA106" s="80"/>
      <c r="BB106" s="80"/>
      <c r="BC106">
        <v>1</v>
      </c>
      <c r="BD106" s="79" t="str">
        <f>REPLACE(INDEX(GroupVertices[Group],MATCH(Edges25[[#This Row],[Vertex 1]],GroupVertices[Vertex],0)),1,1,"")</f>
        <v>1</v>
      </c>
      <c r="BE106" s="79" t="str">
        <f>REPLACE(INDEX(GroupVertices[Group],MATCH(Edges25[[#This Row],[Vertex 2]],GroupVertices[Vertex],0)),1,1,"")</f>
        <v>1</v>
      </c>
      <c r="BF106" s="49"/>
      <c r="BG106" s="50"/>
      <c r="BH106" s="49"/>
      <c r="BI106" s="50"/>
      <c r="BJ106" s="49"/>
      <c r="BK106" s="50"/>
      <c r="BL106" s="49"/>
      <c r="BM106" s="50"/>
      <c r="BN106" s="49"/>
    </row>
    <row r="107" spans="1:66" ht="15">
      <c r="A107" s="65" t="s">
        <v>324</v>
      </c>
      <c r="B107" s="65" t="s">
        <v>377</v>
      </c>
      <c r="C107" s="66"/>
      <c r="D107" s="67"/>
      <c r="E107" s="66"/>
      <c r="F107" s="69"/>
      <c r="G107" s="66"/>
      <c r="H107" s="70"/>
      <c r="I107" s="71"/>
      <c r="J107" s="71"/>
      <c r="K107" s="35" t="s">
        <v>65</v>
      </c>
      <c r="L107" s="72">
        <v>209</v>
      </c>
      <c r="M107" s="72"/>
      <c r="N107" s="73"/>
      <c r="O107" s="80" t="s">
        <v>407</v>
      </c>
      <c r="P107" s="82">
        <v>44476.41767361111</v>
      </c>
      <c r="Q107" s="80" t="s">
        <v>432</v>
      </c>
      <c r="R107" s="85" t="str">
        <f>HYPERLINK("https://econ.trib.al/UuLdSAj")</f>
        <v>https://econ.trib.al/UuLdSAj</v>
      </c>
      <c r="S107" s="80" t="s">
        <v>528</v>
      </c>
      <c r="T107" s="80"/>
      <c r="U107" s="80"/>
      <c r="V107" s="85" t="str">
        <f>HYPERLINK("https://pbs.twimg.com/profile_images/1446768416107294721/7O_VaIxM_normal.jpg")</f>
        <v>https://pbs.twimg.com/profile_images/1446768416107294721/7O_VaIxM_normal.jpg</v>
      </c>
      <c r="W107" s="82">
        <v>44476.41767361111</v>
      </c>
      <c r="X107" s="87">
        <v>44476</v>
      </c>
      <c r="Y107" s="83" t="s">
        <v>671</v>
      </c>
      <c r="Z107" s="85" t="str">
        <f>HYPERLINK("https://twitter.com/parvez_offi/status/1446053048606859266")</f>
        <v>https://twitter.com/parvez_offi/status/1446053048606859266</v>
      </c>
      <c r="AA107" s="80"/>
      <c r="AB107" s="80"/>
      <c r="AC107" s="83" t="s">
        <v>854</v>
      </c>
      <c r="AD107" s="80"/>
      <c r="AE107" s="80" t="b">
        <v>0</v>
      </c>
      <c r="AF107" s="80">
        <v>0</v>
      </c>
      <c r="AG107" s="83" t="s">
        <v>952</v>
      </c>
      <c r="AH107" s="80" t="b">
        <v>0</v>
      </c>
      <c r="AI107" s="80" t="s">
        <v>967</v>
      </c>
      <c r="AJ107" s="80"/>
      <c r="AK107" s="83" t="s">
        <v>952</v>
      </c>
      <c r="AL107" s="80" t="b">
        <v>0</v>
      </c>
      <c r="AM107" s="80">
        <v>11</v>
      </c>
      <c r="AN107" s="83" t="s">
        <v>894</v>
      </c>
      <c r="AO107" s="83" t="s">
        <v>979</v>
      </c>
      <c r="AP107" s="80" t="b">
        <v>0</v>
      </c>
      <c r="AQ107" s="83" t="s">
        <v>894</v>
      </c>
      <c r="AR107" s="80" t="s">
        <v>196</v>
      </c>
      <c r="AS107" s="80">
        <v>0</v>
      </c>
      <c r="AT107" s="80">
        <v>0</v>
      </c>
      <c r="AU107" s="80"/>
      <c r="AV107" s="80"/>
      <c r="AW107" s="80"/>
      <c r="AX107" s="80"/>
      <c r="AY107" s="80"/>
      <c r="AZ107" s="80"/>
      <c r="BA107" s="80"/>
      <c r="BB107" s="80"/>
      <c r="BC107">
        <v>3</v>
      </c>
      <c r="BD107" s="79" t="str">
        <f>REPLACE(INDEX(GroupVertices[Group],MATCH(Edges25[[#This Row],[Vertex 1]],GroupVertices[Vertex],0)),1,1,"")</f>
        <v>1</v>
      </c>
      <c r="BE107" s="79" t="str">
        <f>REPLACE(INDEX(GroupVertices[Group],MATCH(Edges25[[#This Row],[Vertex 2]],GroupVertices[Vertex],0)),1,1,"")</f>
        <v>1</v>
      </c>
      <c r="BF107" s="49"/>
      <c r="BG107" s="50"/>
      <c r="BH107" s="49"/>
      <c r="BI107" s="50"/>
      <c r="BJ107" s="49"/>
      <c r="BK107" s="50"/>
      <c r="BL107" s="49"/>
      <c r="BM107" s="50"/>
      <c r="BN107" s="49"/>
    </row>
    <row r="108" spans="1:66" ht="15">
      <c r="A108" s="65" t="s">
        <v>324</v>
      </c>
      <c r="B108" s="65" t="s">
        <v>377</v>
      </c>
      <c r="C108" s="66"/>
      <c r="D108" s="67"/>
      <c r="E108" s="66"/>
      <c r="F108" s="69"/>
      <c r="G108" s="66"/>
      <c r="H108" s="70"/>
      <c r="I108" s="71"/>
      <c r="J108" s="71"/>
      <c r="K108" s="35" t="s">
        <v>65</v>
      </c>
      <c r="L108" s="72">
        <v>213</v>
      </c>
      <c r="M108" s="72"/>
      <c r="N108" s="73"/>
      <c r="O108" s="80" t="s">
        <v>407</v>
      </c>
      <c r="P108" s="82">
        <v>44478.18208333333</v>
      </c>
      <c r="Q108" s="80" t="s">
        <v>452</v>
      </c>
      <c r="R108" s="85" t="str">
        <f>HYPERLINK("https://econ.trib.al/B6siniM")</f>
        <v>https://econ.trib.al/B6siniM</v>
      </c>
      <c r="S108" s="80" t="s">
        <v>528</v>
      </c>
      <c r="T108" s="80"/>
      <c r="U108" s="80"/>
      <c r="V108" s="85" t="str">
        <f>HYPERLINK("https://pbs.twimg.com/profile_images/1446768416107294721/7O_VaIxM_normal.jpg")</f>
        <v>https://pbs.twimg.com/profile_images/1446768416107294721/7O_VaIxM_normal.jpg</v>
      </c>
      <c r="W108" s="82">
        <v>44478.18208333333</v>
      </c>
      <c r="X108" s="87">
        <v>44478</v>
      </c>
      <c r="Y108" s="83" t="s">
        <v>672</v>
      </c>
      <c r="Z108" s="85" t="str">
        <f>HYPERLINK("https://twitter.com/parvez_offi/status/1446692448147701760")</f>
        <v>https://twitter.com/parvez_offi/status/1446692448147701760</v>
      </c>
      <c r="AA108" s="80"/>
      <c r="AB108" s="80"/>
      <c r="AC108" s="83" t="s">
        <v>855</v>
      </c>
      <c r="AD108" s="80"/>
      <c r="AE108" s="80" t="b">
        <v>0</v>
      </c>
      <c r="AF108" s="80">
        <v>0</v>
      </c>
      <c r="AG108" s="83" t="s">
        <v>952</v>
      </c>
      <c r="AH108" s="80" t="b">
        <v>0</v>
      </c>
      <c r="AI108" s="80" t="s">
        <v>967</v>
      </c>
      <c r="AJ108" s="80"/>
      <c r="AK108" s="83" t="s">
        <v>952</v>
      </c>
      <c r="AL108" s="80" t="b">
        <v>0</v>
      </c>
      <c r="AM108" s="80">
        <v>12</v>
      </c>
      <c r="AN108" s="83" t="s">
        <v>895</v>
      </c>
      <c r="AO108" s="83" t="s">
        <v>979</v>
      </c>
      <c r="AP108" s="80" t="b">
        <v>0</v>
      </c>
      <c r="AQ108" s="83" t="s">
        <v>895</v>
      </c>
      <c r="AR108" s="80" t="s">
        <v>196</v>
      </c>
      <c r="AS108" s="80">
        <v>0</v>
      </c>
      <c r="AT108" s="80">
        <v>0</v>
      </c>
      <c r="AU108" s="80"/>
      <c r="AV108" s="80"/>
      <c r="AW108" s="80"/>
      <c r="AX108" s="80"/>
      <c r="AY108" s="80"/>
      <c r="AZ108" s="80"/>
      <c r="BA108" s="80"/>
      <c r="BB108" s="80"/>
      <c r="BC108">
        <v>3</v>
      </c>
      <c r="BD108" s="79" t="str">
        <f>REPLACE(INDEX(GroupVertices[Group],MATCH(Edges25[[#This Row],[Vertex 1]],GroupVertices[Vertex],0)),1,1,"")</f>
        <v>1</v>
      </c>
      <c r="BE108" s="79" t="str">
        <f>REPLACE(INDEX(GroupVertices[Group],MATCH(Edges25[[#This Row],[Vertex 2]],GroupVertices[Vertex],0)),1,1,"")</f>
        <v>1</v>
      </c>
      <c r="BF108" s="49"/>
      <c r="BG108" s="50"/>
      <c r="BH108" s="49"/>
      <c r="BI108" s="50"/>
      <c r="BJ108" s="49"/>
      <c r="BK108" s="50"/>
      <c r="BL108" s="49"/>
      <c r="BM108" s="50"/>
      <c r="BN108" s="49"/>
    </row>
    <row r="109" spans="1:66" ht="15">
      <c r="A109" s="65" t="s">
        <v>324</v>
      </c>
      <c r="B109" s="65" t="s">
        <v>377</v>
      </c>
      <c r="C109" s="66"/>
      <c r="D109" s="67"/>
      <c r="E109" s="66"/>
      <c r="F109" s="69"/>
      <c r="G109" s="66"/>
      <c r="H109" s="70"/>
      <c r="I109" s="71"/>
      <c r="J109" s="71"/>
      <c r="K109" s="35" t="s">
        <v>65</v>
      </c>
      <c r="L109" s="72">
        <v>217</v>
      </c>
      <c r="M109" s="72"/>
      <c r="N109" s="73"/>
      <c r="O109" s="80" t="s">
        <v>407</v>
      </c>
      <c r="P109" s="82">
        <v>44480.174791666665</v>
      </c>
      <c r="Q109" s="80" t="s">
        <v>468</v>
      </c>
      <c r="R109" s="85" t="str">
        <f>HYPERLINK("https://econ.trib.al/w1YeE88")</f>
        <v>https://econ.trib.al/w1YeE88</v>
      </c>
      <c r="S109" s="80" t="s">
        <v>528</v>
      </c>
      <c r="T109" s="80"/>
      <c r="U109" s="80"/>
      <c r="V109" s="85" t="str">
        <f>HYPERLINK("https://pbs.twimg.com/profile_images/1446768416107294721/7O_VaIxM_normal.jpg")</f>
        <v>https://pbs.twimg.com/profile_images/1446768416107294721/7O_VaIxM_normal.jpg</v>
      </c>
      <c r="W109" s="82">
        <v>44480.174791666665</v>
      </c>
      <c r="X109" s="87">
        <v>44480</v>
      </c>
      <c r="Y109" s="83" t="s">
        <v>673</v>
      </c>
      <c r="Z109" s="85" t="str">
        <f>HYPERLINK("https://twitter.com/parvez_offi/status/1447414582432002049")</f>
        <v>https://twitter.com/parvez_offi/status/1447414582432002049</v>
      </c>
      <c r="AA109" s="80"/>
      <c r="AB109" s="80"/>
      <c r="AC109" s="83" t="s">
        <v>856</v>
      </c>
      <c r="AD109" s="80"/>
      <c r="AE109" s="80" t="b">
        <v>0</v>
      </c>
      <c r="AF109" s="80">
        <v>0</v>
      </c>
      <c r="AG109" s="83" t="s">
        <v>952</v>
      </c>
      <c r="AH109" s="80" t="b">
        <v>0</v>
      </c>
      <c r="AI109" s="80" t="s">
        <v>967</v>
      </c>
      <c r="AJ109" s="80"/>
      <c r="AK109" s="83" t="s">
        <v>952</v>
      </c>
      <c r="AL109" s="80" t="b">
        <v>0</v>
      </c>
      <c r="AM109" s="80">
        <v>10</v>
      </c>
      <c r="AN109" s="83" t="s">
        <v>896</v>
      </c>
      <c r="AO109" s="83" t="s">
        <v>979</v>
      </c>
      <c r="AP109" s="80" t="b">
        <v>0</v>
      </c>
      <c r="AQ109" s="83" t="s">
        <v>896</v>
      </c>
      <c r="AR109" s="80" t="s">
        <v>196</v>
      </c>
      <c r="AS109" s="80">
        <v>0</v>
      </c>
      <c r="AT109" s="80">
        <v>0</v>
      </c>
      <c r="AU109" s="80"/>
      <c r="AV109" s="80"/>
      <c r="AW109" s="80"/>
      <c r="AX109" s="80"/>
      <c r="AY109" s="80"/>
      <c r="AZ109" s="80"/>
      <c r="BA109" s="80"/>
      <c r="BB109" s="80"/>
      <c r="BC109">
        <v>3</v>
      </c>
      <c r="BD109" s="79" t="str">
        <f>REPLACE(INDEX(GroupVertices[Group],MATCH(Edges25[[#This Row],[Vertex 1]],GroupVertices[Vertex],0)),1,1,"")</f>
        <v>1</v>
      </c>
      <c r="BE109" s="79" t="str">
        <f>REPLACE(INDEX(GroupVertices[Group],MATCH(Edges25[[#This Row],[Vertex 2]],GroupVertices[Vertex],0)),1,1,"")</f>
        <v>1</v>
      </c>
      <c r="BF109" s="49"/>
      <c r="BG109" s="50"/>
      <c r="BH109" s="49"/>
      <c r="BI109" s="50"/>
      <c r="BJ109" s="49"/>
      <c r="BK109" s="50"/>
      <c r="BL109" s="49"/>
      <c r="BM109" s="50"/>
      <c r="BN109" s="49"/>
    </row>
    <row r="110" spans="1:66" ht="15">
      <c r="A110" s="65" t="s">
        <v>325</v>
      </c>
      <c r="B110" s="65" t="s">
        <v>377</v>
      </c>
      <c r="C110" s="66"/>
      <c r="D110" s="67"/>
      <c r="E110" s="66"/>
      <c r="F110" s="69"/>
      <c r="G110" s="66"/>
      <c r="H110" s="70"/>
      <c r="I110" s="71"/>
      <c r="J110" s="71"/>
      <c r="K110" s="35" t="s">
        <v>65</v>
      </c>
      <c r="L110" s="72">
        <v>221</v>
      </c>
      <c r="M110" s="72"/>
      <c r="N110" s="73"/>
      <c r="O110" s="80" t="s">
        <v>407</v>
      </c>
      <c r="P110" s="82">
        <v>44480.1791087963</v>
      </c>
      <c r="Q110" s="80" t="s">
        <v>468</v>
      </c>
      <c r="R110" s="85" t="str">
        <f>HYPERLINK("https://econ.trib.al/w1YeE88")</f>
        <v>https://econ.trib.al/w1YeE88</v>
      </c>
      <c r="S110" s="80" t="s">
        <v>528</v>
      </c>
      <c r="T110" s="80"/>
      <c r="U110" s="80"/>
      <c r="V110" s="85" t="str">
        <f>HYPERLINK("https://pbs.twimg.com/profile_images/1349481526006788098/7jHlAj8V_normal.jpg")</f>
        <v>https://pbs.twimg.com/profile_images/1349481526006788098/7jHlAj8V_normal.jpg</v>
      </c>
      <c r="W110" s="82">
        <v>44480.1791087963</v>
      </c>
      <c r="X110" s="87">
        <v>44480</v>
      </c>
      <c r="Y110" s="83" t="s">
        <v>674</v>
      </c>
      <c r="Z110" s="85" t="str">
        <f>HYPERLINK("https://twitter.com/monluz2/status/1447416146932551683")</f>
        <v>https://twitter.com/monluz2/status/1447416146932551683</v>
      </c>
      <c r="AA110" s="80"/>
      <c r="AB110" s="80"/>
      <c r="AC110" s="83" t="s">
        <v>857</v>
      </c>
      <c r="AD110" s="80"/>
      <c r="AE110" s="80" t="b">
        <v>0</v>
      </c>
      <c r="AF110" s="80">
        <v>0</v>
      </c>
      <c r="AG110" s="83" t="s">
        <v>952</v>
      </c>
      <c r="AH110" s="80" t="b">
        <v>0</v>
      </c>
      <c r="AI110" s="80" t="s">
        <v>967</v>
      </c>
      <c r="AJ110" s="80"/>
      <c r="AK110" s="83" t="s">
        <v>952</v>
      </c>
      <c r="AL110" s="80" t="b">
        <v>0</v>
      </c>
      <c r="AM110" s="80">
        <v>10</v>
      </c>
      <c r="AN110" s="83" t="s">
        <v>896</v>
      </c>
      <c r="AO110" s="83" t="s">
        <v>979</v>
      </c>
      <c r="AP110" s="80" t="b">
        <v>0</v>
      </c>
      <c r="AQ110" s="83" t="s">
        <v>896</v>
      </c>
      <c r="AR110" s="80" t="s">
        <v>196</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9"/>
      <c r="BG110" s="50"/>
      <c r="BH110" s="49"/>
      <c r="BI110" s="50"/>
      <c r="BJ110" s="49"/>
      <c r="BK110" s="50"/>
      <c r="BL110" s="49"/>
      <c r="BM110" s="50"/>
      <c r="BN110" s="49"/>
    </row>
    <row r="111" spans="1:66" ht="15">
      <c r="A111" s="65" t="s">
        <v>326</v>
      </c>
      <c r="B111" s="65" t="s">
        <v>377</v>
      </c>
      <c r="C111" s="66"/>
      <c r="D111" s="67"/>
      <c r="E111" s="66"/>
      <c r="F111" s="69"/>
      <c r="G111" s="66"/>
      <c r="H111" s="70"/>
      <c r="I111" s="71"/>
      <c r="J111" s="71"/>
      <c r="K111" s="35" t="s">
        <v>65</v>
      </c>
      <c r="L111" s="72">
        <v>225</v>
      </c>
      <c r="M111" s="72"/>
      <c r="N111" s="73"/>
      <c r="O111" s="80" t="s">
        <v>407</v>
      </c>
      <c r="P111" s="82">
        <v>44480.181446759256</v>
      </c>
      <c r="Q111" s="80" t="s">
        <v>468</v>
      </c>
      <c r="R111" s="85" t="str">
        <f>HYPERLINK("https://econ.trib.al/w1YeE88")</f>
        <v>https://econ.trib.al/w1YeE88</v>
      </c>
      <c r="S111" s="80" t="s">
        <v>528</v>
      </c>
      <c r="T111" s="80"/>
      <c r="U111" s="80"/>
      <c r="V111" s="85" t="str">
        <f>HYPERLINK("https://pbs.twimg.com/profile_images/1365150290786181121/VnLvLg_n_normal.jpg")</f>
        <v>https://pbs.twimg.com/profile_images/1365150290786181121/VnLvLg_n_normal.jpg</v>
      </c>
      <c r="W111" s="82">
        <v>44480.181446759256</v>
      </c>
      <c r="X111" s="87">
        <v>44480</v>
      </c>
      <c r="Y111" s="83" t="s">
        <v>675</v>
      </c>
      <c r="Z111" s="85" t="str">
        <f>HYPERLINK("https://twitter.com/shyshoegazer/status/1447416994400071680")</f>
        <v>https://twitter.com/shyshoegazer/status/1447416994400071680</v>
      </c>
      <c r="AA111" s="80"/>
      <c r="AB111" s="80"/>
      <c r="AC111" s="83" t="s">
        <v>858</v>
      </c>
      <c r="AD111" s="80"/>
      <c r="AE111" s="80" t="b">
        <v>0</v>
      </c>
      <c r="AF111" s="80">
        <v>0</v>
      </c>
      <c r="AG111" s="83" t="s">
        <v>952</v>
      </c>
      <c r="AH111" s="80" t="b">
        <v>0</v>
      </c>
      <c r="AI111" s="80" t="s">
        <v>967</v>
      </c>
      <c r="AJ111" s="80"/>
      <c r="AK111" s="83" t="s">
        <v>952</v>
      </c>
      <c r="AL111" s="80" t="b">
        <v>0</v>
      </c>
      <c r="AM111" s="80">
        <v>10</v>
      </c>
      <c r="AN111" s="83" t="s">
        <v>896</v>
      </c>
      <c r="AO111" s="83" t="s">
        <v>976</v>
      </c>
      <c r="AP111" s="80" t="b">
        <v>0</v>
      </c>
      <c r="AQ111" s="83" t="s">
        <v>896</v>
      </c>
      <c r="AR111" s="80" t="s">
        <v>196</v>
      </c>
      <c r="AS111" s="80">
        <v>0</v>
      </c>
      <c r="AT111" s="80">
        <v>0</v>
      </c>
      <c r="AU111" s="80"/>
      <c r="AV111" s="80"/>
      <c r="AW111" s="80"/>
      <c r="AX111" s="80"/>
      <c r="AY111" s="80"/>
      <c r="AZ111" s="80"/>
      <c r="BA111" s="80"/>
      <c r="BB111" s="80"/>
      <c r="BC111">
        <v>1</v>
      </c>
      <c r="BD111" s="79" t="str">
        <f>REPLACE(INDEX(GroupVertices[Group],MATCH(Edges25[[#This Row],[Vertex 1]],GroupVertices[Vertex],0)),1,1,"")</f>
        <v>1</v>
      </c>
      <c r="BE111" s="79" t="str">
        <f>REPLACE(INDEX(GroupVertices[Group],MATCH(Edges25[[#This Row],[Vertex 2]],GroupVertices[Vertex],0)),1,1,"")</f>
        <v>1</v>
      </c>
      <c r="BF111" s="49"/>
      <c r="BG111" s="50"/>
      <c r="BH111" s="49"/>
      <c r="BI111" s="50"/>
      <c r="BJ111" s="49"/>
      <c r="BK111" s="50"/>
      <c r="BL111" s="49"/>
      <c r="BM111" s="50"/>
      <c r="BN111" s="49"/>
    </row>
    <row r="112" spans="1:66" ht="15">
      <c r="A112" s="65" t="s">
        <v>327</v>
      </c>
      <c r="B112" s="65" t="s">
        <v>377</v>
      </c>
      <c r="C112" s="66"/>
      <c r="D112" s="67"/>
      <c r="E112" s="66"/>
      <c r="F112" s="69"/>
      <c r="G112" s="66"/>
      <c r="H112" s="70"/>
      <c r="I112" s="71"/>
      <c r="J112" s="71"/>
      <c r="K112" s="35" t="s">
        <v>65</v>
      </c>
      <c r="L112" s="72">
        <v>229</v>
      </c>
      <c r="M112" s="72"/>
      <c r="N112" s="73"/>
      <c r="O112" s="80" t="s">
        <v>407</v>
      </c>
      <c r="P112" s="82">
        <v>44480.18824074074</v>
      </c>
      <c r="Q112" s="80" t="s">
        <v>468</v>
      </c>
      <c r="R112" s="85" t="str">
        <f>HYPERLINK("https://econ.trib.al/w1YeE88")</f>
        <v>https://econ.trib.al/w1YeE88</v>
      </c>
      <c r="S112" s="80" t="s">
        <v>528</v>
      </c>
      <c r="T112" s="80"/>
      <c r="U112" s="80"/>
      <c r="V112" s="85" t="str">
        <f>HYPERLINK("https://pbs.twimg.com/profile_images/863231430712672260/weKWY1BH_normal.jpg")</f>
        <v>https://pbs.twimg.com/profile_images/863231430712672260/weKWY1BH_normal.jpg</v>
      </c>
      <c r="W112" s="82">
        <v>44480.18824074074</v>
      </c>
      <c r="X112" s="87">
        <v>44480</v>
      </c>
      <c r="Y112" s="83" t="s">
        <v>676</v>
      </c>
      <c r="Z112" s="85" t="str">
        <f>HYPERLINK("https://twitter.com/dd_jessica_/status/1447419457010237443")</f>
        <v>https://twitter.com/dd_jessica_/status/1447419457010237443</v>
      </c>
      <c r="AA112" s="80"/>
      <c r="AB112" s="80"/>
      <c r="AC112" s="83" t="s">
        <v>859</v>
      </c>
      <c r="AD112" s="80"/>
      <c r="AE112" s="80" t="b">
        <v>0</v>
      </c>
      <c r="AF112" s="80">
        <v>0</v>
      </c>
      <c r="AG112" s="83" t="s">
        <v>952</v>
      </c>
      <c r="AH112" s="80" t="b">
        <v>0</v>
      </c>
      <c r="AI112" s="80" t="s">
        <v>967</v>
      </c>
      <c r="AJ112" s="80"/>
      <c r="AK112" s="83" t="s">
        <v>952</v>
      </c>
      <c r="AL112" s="80" t="b">
        <v>0</v>
      </c>
      <c r="AM112" s="80">
        <v>10</v>
      </c>
      <c r="AN112" s="83" t="s">
        <v>896</v>
      </c>
      <c r="AO112" s="83" t="s">
        <v>976</v>
      </c>
      <c r="AP112" s="80" t="b">
        <v>0</v>
      </c>
      <c r="AQ112" s="83" t="s">
        <v>896</v>
      </c>
      <c r="AR112" s="80" t="s">
        <v>196</v>
      </c>
      <c r="AS112" s="80">
        <v>0</v>
      </c>
      <c r="AT112" s="80">
        <v>0</v>
      </c>
      <c r="AU112" s="80"/>
      <c r="AV112" s="80"/>
      <c r="AW112" s="80"/>
      <c r="AX112" s="80"/>
      <c r="AY112" s="80"/>
      <c r="AZ112" s="80"/>
      <c r="BA112" s="80"/>
      <c r="BB112" s="80"/>
      <c r="BC112">
        <v>1</v>
      </c>
      <c r="BD112" s="79" t="str">
        <f>REPLACE(INDEX(GroupVertices[Group],MATCH(Edges25[[#This Row],[Vertex 1]],GroupVertices[Vertex],0)),1,1,"")</f>
        <v>1</v>
      </c>
      <c r="BE112" s="79" t="str">
        <f>REPLACE(INDEX(GroupVertices[Group],MATCH(Edges25[[#This Row],[Vertex 2]],GroupVertices[Vertex],0)),1,1,"")</f>
        <v>1</v>
      </c>
      <c r="BF112" s="49"/>
      <c r="BG112" s="50"/>
      <c r="BH112" s="49"/>
      <c r="BI112" s="50"/>
      <c r="BJ112" s="49"/>
      <c r="BK112" s="50"/>
      <c r="BL112" s="49"/>
      <c r="BM112" s="50"/>
      <c r="BN112" s="49"/>
    </row>
    <row r="113" spans="1:66" ht="15">
      <c r="A113" s="65" t="s">
        <v>328</v>
      </c>
      <c r="B113" s="65" t="s">
        <v>328</v>
      </c>
      <c r="C113" s="66"/>
      <c r="D113" s="67"/>
      <c r="E113" s="66"/>
      <c r="F113" s="69"/>
      <c r="G113" s="66"/>
      <c r="H113" s="70"/>
      <c r="I113" s="71"/>
      <c r="J113" s="71"/>
      <c r="K113" s="35" t="s">
        <v>65</v>
      </c>
      <c r="L113" s="72">
        <v>233</v>
      </c>
      <c r="M113" s="72"/>
      <c r="N113" s="73"/>
      <c r="O113" s="80" t="s">
        <v>196</v>
      </c>
      <c r="P113" s="82">
        <v>44478</v>
      </c>
      <c r="Q113" s="80" t="s">
        <v>449</v>
      </c>
      <c r="R113" s="85" t="str">
        <f>HYPERLINK("https://www.greenqueen.com.hk/hong-kong-cell-based-meat-study/?ct=t%28OCT+8+2020+INDUSTRY+SCOOP_COPY_01%29")</f>
        <v>https://www.greenqueen.com.hk/hong-kong-cell-based-meat-study/?ct=t%28OCT+8+2020+INDUSTRY+SCOOP_COPY_01%29</v>
      </c>
      <c r="S113" s="80" t="s">
        <v>525</v>
      </c>
      <c r="T113" s="83" t="s">
        <v>557</v>
      </c>
      <c r="U113" s="85" t="str">
        <f>HYPERLINK("https://pbs.twimg.com/media/FBD5ahCUUAYHMaD.jpg")</f>
        <v>https://pbs.twimg.com/media/FBD5ahCUUAYHMaD.jpg</v>
      </c>
      <c r="V113" s="85" t="str">
        <f>HYPERLINK("https://pbs.twimg.com/media/FBD5ahCUUAYHMaD.jpg")</f>
        <v>https://pbs.twimg.com/media/FBD5ahCUUAYHMaD.jpg</v>
      </c>
      <c r="W113" s="82">
        <v>44478</v>
      </c>
      <c r="X113" s="87">
        <v>44478</v>
      </c>
      <c r="Y113" s="83" t="s">
        <v>677</v>
      </c>
      <c r="Z113" s="85" t="str">
        <f>HYPERLINK("https://twitter.com/earthaccounting/status/1446626461897531393")</f>
        <v>https://twitter.com/earthaccounting/status/1446626461897531393</v>
      </c>
      <c r="AA113" s="80"/>
      <c r="AB113" s="80"/>
      <c r="AC113" s="83" t="s">
        <v>860</v>
      </c>
      <c r="AD113" s="80"/>
      <c r="AE113" s="80" t="b">
        <v>0</v>
      </c>
      <c r="AF113" s="80">
        <v>3</v>
      </c>
      <c r="AG113" s="83" t="s">
        <v>952</v>
      </c>
      <c r="AH113" s="80" t="b">
        <v>0</v>
      </c>
      <c r="AI113" s="80" t="s">
        <v>967</v>
      </c>
      <c r="AJ113" s="80"/>
      <c r="AK113" s="83" t="s">
        <v>952</v>
      </c>
      <c r="AL113" s="80" t="b">
        <v>0</v>
      </c>
      <c r="AM113" s="80">
        <v>3</v>
      </c>
      <c r="AN113" s="83" t="s">
        <v>952</v>
      </c>
      <c r="AO113" s="83" t="s">
        <v>972</v>
      </c>
      <c r="AP113" s="80" t="b">
        <v>0</v>
      </c>
      <c r="AQ113" s="83" t="s">
        <v>860</v>
      </c>
      <c r="AR113" s="80" t="s">
        <v>196</v>
      </c>
      <c r="AS113" s="80">
        <v>0</v>
      </c>
      <c r="AT113" s="80">
        <v>0</v>
      </c>
      <c r="AU113" s="80"/>
      <c r="AV113" s="80"/>
      <c r="AW113" s="80"/>
      <c r="AX113" s="80"/>
      <c r="AY113" s="80"/>
      <c r="AZ113" s="80"/>
      <c r="BA113" s="80"/>
      <c r="BB113" s="80"/>
      <c r="BC113">
        <v>1</v>
      </c>
      <c r="BD113" s="79" t="str">
        <f>REPLACE(INDEX(GroupVertices[Group],MATCH(Edges25[[#This Row],[Vertex 1]],GroupVertices[Vertex],0)),1,1,"")</f>
        <v>12</v>
      </c>
      <c r="BE113" s="79" t="str">
        <f>REPLACE(INDEX(GroupVertices[Group],MATCH(Edges25[[#This Row],[Vertex 2]],GroupVertices[Vertex],0)),1,1,"")</f>
        <v>12</v>
      </c>
      <c r="BF113" s="49">
        <v>0</v>
      </c>
      <c r="BG113" s="50">
        <v>0</v>
      </c>
      <c r="BH113" s="49">
        <v>0</v>
      </c>
      <c r="BI113" s="50">
        <v>0</v>
      </c>
      <c r="BJ113" s="49">
        <v>0</v>
      </c>
      <c r="BK113" s="50">
        <v>0</v>
      </c>
      <c r="BL113" s="49">
        <v>12</v>
      </c>
      <c r="BM113" s="50">
        <v>100</v>
      </c>
      <c r="BN113" s="49">
        <v>12</v>
      </c>
    </row>
    <row r="114" spans="1:66" ht="15">
      <c r="A114" s="65" t="s">
        <v>328</v>
      </c>
      <c r="B114" s="65" t="s">
        <v>328</v>
      </c>
      <c r="C114" s="66"/>
      <c r="D114" s="67"/>
      <c r="E114" s="66"/>
      <c r="F114" s="69"/>
      <c r="G114" s="66"/>
      <c r="H114" s="70"/>
      <c r="I114" s="71"/>
      <c r="J114" s="71"/>
      <c r="K114" s="35" t="s">
        <v>65</v>
      </c>
      <c r="L114" s="72">
        <v>234</v>
      </c>
      <c r="M114" s="72"/>
      <c r="N114" s="73"/>
      <c r="O114" s="80" t="s">
        <v>408</v>
      </c>
      <c r="P114" s="82">
        <v>44480.19721064815</v>
      </c>
      <c r="Q114" s="80" t="s">
        <v>449</v>
      </c>
      <c r="R114" s="85" t="str">
        <f>HYPERLINK("https://www.greenqueen.com.hk/hong-kong-cell-based-meat-study/?ct=t%28OCT+8+2020+INDUSTRY+SCOOP_COPY_01%29")</f>
        <v>https://www.greenqueen.com.hk/hong-kong-cell-based-meat-study/?ct=t%28OCT+8+2020+INDUSTRY+SCOOP_COPY_01%29</v>
      </c>
      <c r="S114" s="80" t="s">
        <v>525</v>
      </c>
      <c r="T114" s="83" t="s">
        <v>557</v>
      </c>
      <c r="U114" s="85" t="str">
        <f>HYPERLINK("https://pbs.twimg.com/media/FBD5ahCUUAYHMaD.jpg")</f>
        <v>https://pbs.twimg.com/media/FBD5ahCUUAYHMaD.jpg</v>
      </c>
      <c r="V114" s="85" t="str">
        <f>HYPERLINK("https://pbs.twimg.com/media/FBD5ahCUUAYHMaD.jpg")</f>
        <v>https://pbs.twimg.com/media/FBD5ahCUUAYHMaD.jpg</v>
      </c>
      <c r="W114" s="82">
        <v>44480.19721064815</v>
      </c>
      <c r="X114" s="87">
        <v>44480</v>
      </c>
      <c r="Y114" s="83" t="s">
        <v>678</v>
      </c>
      <c r="Z114" s="85" t="str">
        <f>HYPERLINK("https://twitter.com/earthaccounting/status/1447422704567554051")</f>
        <v>https://twitter.com/earthaccounting/status/1447422704567554051</v>
      </c>
      <c r="AA114" s="80"/>
      <c r="AB114" s="80"/>
      <c r="AC114" s="83" t="s">
        <v>861</v>
      </c>
      <c r="AD114" s="80"/>
      <c r="AE114" s="80" t="b">
        <v>0</v>
      </c>
      <c r="AF114" s="80">
        <v>0</v>
      </c>
      <c r="AG114" s="83" t="s">
        <v>952</v>
      </c>
      <c r="AH114" s="80" t="b">
        <v>0</v>
      </c>
      <c r="AI114" s="80" t="s">
        <v>967</v>
      </c>
      <c r="AJ114" s="80"/>
      <c r="AK114" s="83" t="s">
        <v>952</v>
      </c>
      <c r="AL114" s="80" t="b">
        <v>0</v>
      </c>
      <c r="AM114" s="80">
        <v>3</v>
      </c>
      <c r="AN114" s="83" t="s">
        <v>860</v>
      </c>
      <c r="AO114" s="83" t="s">
        <v>972</v>
      </c>
      <c r="AP114" s="80" t="b">
        <v>0</v>
      </c>
      <c r="AQ114" s="83" t="s">
        <v>860</v>
      </c>
      <c r="AR114" s="80" t="s">
        <v>196</v>
      </c>
      <c r="AS114" s="80">
        <v>0</v>
      </c>
      <c r="AT114" s="80">
        <v>0</v>
      </c>
      <c r="AU114" s="80"/>
      <c r="AV114" s="80"/>
      <c r="AW114" s="80"/>
      <c r="AX114" s="80"/>
      <c r="AY114" s="80"/>
      <c r="AZ114" s="80"/>
      <c r="BA114" s="80"/>
      <c r="BB114" s="80"/>
      <c r="BC114">
        <v>1</v>
      </c>
      <c r="BD114" s="79" t="str">
        <f>REPLACE(INDEX(GroupVertices[Group],MATCH(Edges25[[#This Row],[Vertex 1]],GroupVertices[Vertex],0)),1,1,"")</f>
        <v>12</v>
      </c>
      <c r="BE114" s="79" t="str">
        <f>REPLACE(INDEX(GroupVertices[Group],MATCH(Edges25[[#This Row],[Vertex 2]],GroupVertices[Vertex],0)),1,1,"")</f>
        <v>12</v>
      </c>
      <c r="BF114" s="49">
        <v>0</v>
      </c>
      <c r="BG114" s="50">
        <v>0</v>
      </c>
      <c r="BH114" s="49">
        <v>0</v>
      </c>
      <c r="BI114" s="50">
        <v>0</v>
      </c>
      <c r="BJ114" s="49">
        <v>0</v>
      </c>
      <c r="BK114" s="50">
        <v>0</v>
      </c>
      <c r="BL114" s="49">
        <v>12</v>
      </c>
      <c r="BM114" s="50">
        <v>100</v>
      </c>
      <c r="BN114" s="49">
        <v>12</v>
      </c>
    </row>
    <row r="115" spans="1:66" ht="15">
      <c r="A115" s="65" t="s">
        <v>329</v>
      </c>
      <c r="B115" s="65" t="s">
        <v>395</v>
      </c>
      <c r="C115" s="66"/>
      <c r="D115" s="67"/>
      <c r="E115" s="66"/>
      <c r="F115" s="69"/>
      <c r="G115" s="66"/>
      <c r="H115" s="70"/>
      <c r="I115" s="71"/>
      <c r="J115" s="71"/>
      <c r="K115" s="35" t="s">
        <v>65</v>
      </c>
      <c r="L115" s="72">
        <v>235</v>
      </c>
      <c r="M115" s="72"/>
      <c r="N115" s="73"/>
      <c r="O115" s="80" t="s">
        <v>409</v>
      </c>
      <c r="P115" s="82">
        <v>44480.219560185185</v>
      </c>
      <c r="Q115" s="80" t="s">
        <v>469</v>
      </c>
      <c r="R115" s="80" t="s">
        <v>511</v>
      </c>
      <c r="S115" s="80" t="s">
        <v>540</v>
      </c>
      <c r="T115" s="80"/>
      <c r="U115" s="80"/>
      <c r="V115" s="85" t="str">
        <f>HYPERLINK("https://pbs.twimg.com/profile_images/1067102741980487680/tL2beQao_normal.jpg")</f>
        <v>https://pbs.twimg.com/profile_images/1067102741980487680/tL2beQao_normal.jpg</v>
      </c>
      <c r="W115" s="82">
        <v>44480.219560185185</v>
      </c>
      <c r="X115" s="87">
        <v>44480</v>
      </c>
      <c r="Y115" s="83" t="s">
        <v>679</v>
      </c>
      <c r="Z115" s="85" t="str">
        <f>HYPERLINK("https://twitter.com/shiokmeats/status/1447430803269447687")</f>
        <v>https://twitter.com/shiokmeats/status/1447430803269447687</v>
      </c>
      <c r="AA115" s="80"/>
      <c r="AB115" s="80"/>
      <c r="AC115" s="83" t="s">
        <v>862</v>
      </c>
      <c r="AD115" s="83" t="s">
        <v>945</v>
      </c>
      <c r="AE115" s="80" t="b">
        <v>0</v>
      </c>
      <c r="AF115" s="80">
        <v>1</v>
      </c>
      <c r="AG115" s="83" t="s">
        <v>961</v>
      </c>
      <c r="AH115" s="80" t="b">
        <v>0</v>
      </c>
      <c r="AI115" s="80" t="s">
        <v>967</v>
      </c>
      <c r="AJ115" s="80"/>
      <c r="AK115" s="83" t="s">
        <v>952</v>
      </c>
      <c r="AL115" s="80" t="b">
        <v>0</v>
      </c>
      <c r="AM115" s="80">
        <v>0</v>
      </c>
      <c r="AN115" s="83" t="s">
        <v>952</v>
      </c>
      <c r="AO115" s="83" t="s">
        <v>976</v>
      </c>
      <c r="AP115" s="80" t="b">
        <v>0</v>
      </c>
      <c r="AQ115" s="83" t="s">
        <v>945</v>
      </c>
      <c r="AR115" s="80" t="s">
        <v>196</v>
      </c>
      <c r="AS115" s="80">
        <v>0</v>
      </c>
      <c r="AT115" s="80">
        <v>0</v>
      </c>
      <c r="AU115" s="80"/>
      <c r="AV115" s="80"/>
      <c r="AW115" s="80"/>
      <c r="AX115" s="80"/>
      <c r="AY115" s="80"/>
      <c r="AZ115" s="80"/>
      <c r="BA115" s="80"/>
      <c r="BB115" s="80"/>
      <c r="BC115">
        <v>1</v>
      </c>
      <c r="BD115" s="79" t="str">
        <f>REPLACE(INDEX(GroupVertices[Group],MATCH(Edges25[[#This Row],[Vertex 1]],GroupVertices[Vertex],0)),1,1,"")</f>
        <v>3</v>
      </c>
      <c r="BE115" s="79" t="str">
        <f>REPLACE(INDEX(GroupVertices[Group],MATCH(Edges25[[#This Row],[Vertex 2]],GroupVertices[Vertex],0)),1,1,"")</f>
        <v>3</v>
      </c>
      <c r="BF115" s="49">
        <v>0</v>
      </c>
      <c r="BG115" s="50">
        <v>0</v>
      </c>
      <c r="BH115" s="49">
        <v>0</v>
      </c>
      <c r="BI115" s="50">
        <v>0</v>
      </c>
      <c r="BJ115" s="49">
        <v>0</v>
      </c>
      <c r="BK115" s="50">
        <v>0</v>
      </c>
      <c r="BL115" s="49">
        <v>13</v>
      </c>
      <c r="BM115" s="50">
        <v>100</v>
      </c>
      <c r="BN115" s="49">
        <v>13</v>
      </c>
    </row>
    <row r="116" spans="1:66" ht="15">
      <c r="A116" s="65" t="s">
        <v>330</v>
      </c>
      <c r="B116" s="65" t="s">
        <v>377</v>
      </c>
      <c r="C116" s="66"/>
      <c r="D116" s="67"/>
      <c r="E116" s="66"/>
      <c r="F116" s="69"/>
      <c r="G116" s="66"/>
      <c r="H116" s="70"/>
      <c r="I116" s="71"/>
      <c r="J116" s="71"/>
      <c r="K116" s="35" t="s">
        <v>65</v>
      </c>
      <c r="L116" s="72">
        <v>236</v>
      </c>
      <c r="M116" s="72"/>
      <c r="N116" s="73"/>
      <c r="O116" s="80" t="s">
        <v>407</v>
      </c>
      <c r="P116" s="82">
        <v>44476.41689814815</v>
      </c>
      <c r="Q116" s="80" t="s">
        <v>432</v>
      </c>
      <c r="R116" s="85" t="str">
        <f>HYPERLINK("https://econ.trib.al/UuLdSAj")</f>
        <v>https://econ.trib.al/UuLdSAj</v>
      </c>
      <c r="S116" s="80" t="s">
        <v>528</v>
      </c>
      <c r="T116" s="80"/>
      <c r="U116" s="80"/>
      <c r="V116" s="85" t="str">
        <f>HYPERLINK("https://pbs.twimg.com/profile_images/1437693571860099078/rDcmu9i__normal.jpg")</f>
        <v>https://pbs.twimg.com/profile_images/1437693571860099078/rDcmu9i__normal.jpg</v>
      </c>
      <c r="W116" s="82">
        <v>44476.41689814815</v>
      </c>
      <c r="X116" s="87">
        <v>44476</v>
      </c>
      <c r="Y116" s="83" t="s">
        <v>680</v>
      </c>
      <c r="Z116" s="85" t="str">
        <f>HYPERLINK("https://twitter.com/kjgheroman/status/1446052766565101569")</f>
        <v>https://twitter.com/kjgheroman/status/1446052766565101569</v>
      </c>
      <c r="AA116" s="80"/>
      <c r="AB116" s="80"/>
      <c r="AC116" s="83" t="s">
        <v>863</v>
      </c>
      <c r="AD116" s="80"/>
      <c r="AE116" s="80" t="b">
        <v>0</v>
      </c>
      <c r="AF116" s="80">
        <v>0</v>
      </c>
      <c r="AG116" s="83" t="s">
        <v>952</v>
      </c>
      <c r="AH116" s="80" t="b">
        <v>0</v>
      </c>
      <c r="AI116" s="80" t="s">
        <v>967</v>
      </c>
      <c r="AJ116" s="80"/>
      <c r="AK116" s="83" t="s">
        <v>952</v>
      </c>
      <c r="AL116" s="80" t="b">
        <v>0</v>
      </c>
      <c r="AM116" s="80">
        <v>11</v>
      </c>
      <c r="AN116" s="83" t="s">
        <v>894</v>
      </c>
      <c r="AO116" s="83" t="s">
        <v>976</v>
      </c>
      <c r="AP116" s="80" t="b">
        <v>0</v>
      </c>
      <c r="AQ116" s="83" t="s">
        <v>894</v>
      </c>
      <c r="AR116" s="80" t="s">
        <v>196</v>
      </c>
      <c r="AS116" s="80">
        <v>0</v>
      </c>
      <c r="AT116" s="80">
        <v>0</v>
      </c>
      <c r="AU116" s="80"/>
      <c r="AV116" s="80"/>
      <c r="AW116" s="80"/>
      <c r="AX116" s="80"/>
      <c r="AY116" s="80"/>
      <c r="AZ116" s="80"/>
      <c r="BA116" s="80"/>
      <c r="BB116" s="80"/>
      <c r="BC116">
        <v>2</v>
      </c>
      <c r="BD116" s="79" t="str">
        <f>REPLACE(INDEX(GroupVertices[Group],MATCH(Edges25[[#This Row],[Vertex 1]],GroupVertices[Vertex],0)),1,1,"")</f>
        <v>1</v>
      </c>
      <c r="BE116" s="79" t="str">
        <f>REPLACE(INDEX(GroupVertices[Group],MATCH(Edges25[[#This Row],[Vertex 2]],GroupVertices[Vertex],0)),1,1,"")</f>
        <v>1</v>
      </c>
      <c r="BF116" s="49"/>
      <c r="BG116" s="50"/>
      <c r="BH116" s="49"/>
      <c r="BI116" s="50"/>
      <c r="BJ116" s="49"/>
      <c r="BK116" s="50"/>
      <c r="BL116" s="49"/>
      <c r="BM116" s="50"/>
      <c r="BN116" s="49"/>
    </row>
    <row r="117" spans="1:66" ht="15">
      <c r="A117" s="65" t="s">
        <v>330</v>
      </c>
      <c r="B117" s="65" t="s">
        <v>377</v>
      </c>
      <c r="C117" s="66"/>
      <c r="D117" s="67"/>
      <c r="E117" s="66"/>
      <c r="F117" s="69"/>
      <c r="G117" s="66"/>
      <c r="H117" s="70"/>
      <c r="I117" s="71"/>
      <c r="J117" s="71"/>
      <c r="K117" s="35" t="s">
        <v>65</v>
      </c>
      <c r="L117" s="72">
        <v>240</v>
      </c>
      <c r="M117" s="72"/>
      <c r="N117" s="73"/>
      <c r="O117" s="80" t="s">
        <v>407</v>
      </c>
      <c r="P117" s="82">
        <v>44480.3340625</v>
      </c>
      <c r="Q117" s="80" t="s">
        <v>468</v>
      </c>
      <c r="R117" s="85" t="str">
        <f>HYPERLINK("https://econ.trib.al/w1YeE88")</f>
        <v>https://econ.trib.al/w1YeE88</v>
      </c>
      <c r="S117" s="80" t="s">
        <v>528</v>
      </c>
      <c r="T117" s="80"/>
      <c r="U117" s="80"/>
      <c r="V117" s="85" t="str">
        <f>HYPERLINK("https://pbs.twimg.com/profile_images/1437693571860099078/rDcmu9i__normal.jpg")</f>
        <v>https://pbs.twimg.com/profile_images/1437693571860099078/rDcmu9i__normal.jpg</v>
      </c>
      <c r="W117" s="82">
        <v>44480.3340625</v>
      </c>
      <c r="X117" s="87">
        <v>44480</v>
      </c>
      <c r="Y117" s="83" t="s">
        <v>681</v>
      </c>
      <c r="Z117" s="85" t="str">
        <f>HYPERLINK("https://twitter.com/kjgheroman/status/1447472299834101760")</f>
        <v>https://twitter.com/kjgheroman/status/1447472299834101760</v>
      </c>
      <c r="AA117" s="80"/>
      <c r="AB117" s="80"/>
      <c r="AC117" s="83" t="s">
        <v>864</v>
      </c>
      <c r="AD117" s="80"/>
      <c r="AE117" s="80" t="b">
        <v>0</v>
      </c>
      <c r="AF117" s="80">
        <v>0</v>
      </c>
      <c r="AG117" s="83" t="s">
        <v>952</v>
      </c>
      <c r="AH117" s="80" t="b">
        <v>0</v>
      </c>
      <c r="AI117" s="80" t="s">
        <v>967</v>
      </c>
      <c r="AJ117" s="80"/>
      <c r="AK117" s="83" t="s">
        <v>952</v>
      </c>
      <c r="AL117" s="80" t="b">
        <v>0</v>
      </c>
      <c r="AM117" s="80">
        <v>10</v>
      </c>
      <c r="AN117" s="83" t="s">
        <v>896</v>
      </c>
      <c r="AO117" s="83" t="s">
        <v>976</v>
      </c>
      <c r="AP117" s="80" t="b">
        <v>0</v>
      </c>
      <c r="AQ117" s="83" t="s">
        <v>896</v>
      </c>
      <c r="AR117" s="80" t="s">
        <v>196</v>
      </c>
      <c r="AS117" s="80">
        <v>0</v>
      </c>
      <c r="AT117" s="80">
        <v>0</v>
      </c>
      <c r="AU117" s="80"/>
      <c r="AV117" s="80"/>
      <c r="AW117" s="80"/>
      <c r="AX117" s="80"/>
      <c r="AY117" s="80"/>
      <c r="AZ117" s="80"/>
      <c r="BA117" s="80"/>
      <c r="BB117" s="80"/>
      <c r="BC117">
        <v>2</v>
      </c>
      <c r="BD117" s="79" t="str">
        <f>REPLACE(INDEX(GroupVertices[Group],MATCH(Edges25[[#This Row],[Vertex 1]],GroupVertices[Vertex],0)),1,1,"")</f>
        <v>1</v>
      </c>
      <c r="BE117" s="79" t="str">
        <f>REPLACE(INDEX(GroupVertices[Group],MATCH(Edges25[[#This Row],[Vertex 2]],GroupVertices[Vertex],0)),1,1,"")</f>
        <v>1</v>
      </c>
      <c r="BF117" s="49"/>
      <c r="BG117" s="50"/>
      <c r="BH117" s="49"/>
      <c r="BI117" s="50"/>
      <c r="BJ117" s="49"/>
      <c r="BK117" s="50"/>
      <c r="BL117" s="49"/>
      <c r="BM117" s="50"/>
      <c r="BN117" s="49"/>
    </row>
    <row r="118" spans="1:66" ht="15">
      <c r="A118" s="65" t="s">
        <v>331</v>
      </c>
      <c r="B118" s="65" t="s">
        <v>332</v>
      </c>
      <c r="C118" s="66"/>
      <c r="D118" s="67"/>
      <c r="E118" s="66"/>
      <c r="F118" s="69"/>
      <c r="G118" s="66"/>
      <c r="H118" s="70"/>
      <c r="I118" s="71"/>
      <c r="J118" s="71"/>
      <c r="K118" s="35" t="s">
        <v>66</v>
      </c>
      <c r="L118" s="72">
        <v>244</v>
      </c>
      <c r="M118" s="72"/>
      <c r="N118" s="73"/>
      <c r="O118" s="80" t="s">
        <v>408</v>
      </c>
      <c r="P118" s="82">
        <v>44477.46878472222</v>
      </c>
      <c r="Q118" s="80" t="s">
        <v>470</v>
      </c>
      <c r="R118" s="85" t="str">
        <f>HYPERLINK("https://econ.trib.al/AoNqILv")</f>
        <v>https://econ.trib.al/AoNqILv</v>
      </c>
      <c r="S118" s="80" t="s">
        <v>528</v>
      </c>
      <c r="T118" s="80"/>
      <c r="U118" s="80"/>
      <c r="V118" s="85" t="str">
        <f>HYPERLINK("https://pbs.twimg.com/profile_images/1413053667930951680/NpQOcSDf_normal.jpg")</f>
        <v>https://pbs.twimg.com/profile_images/1413053667930951680/NpQOcSDf_normal.jpg</v>
      </c>
      <c r="W118" s="82">
        <v>44477.46878472222</v>
      </c>
      <c r="X118" s="87">
        <v>44477</v>
      </c>
      <c r="Y118" s="83" t="s">
        <v>682</v>
      </c>
      <c r="Z118" s="85" t="str">
        <f>HYPERLINK("https://twitter.com/grownunder/status/1446433955465646114")</f>
        <v>https://twitter.com/grownunder/status/1446433955465646114</v>
      </c>
      <c r="AA118" s="80"/>
      <c r="AB118" s="80"/>
      <c r="AC118" s="83" t="s">
        <v>865</v>
      </c>
      <c r="AD118" s="80"/>
      <c r="AE118" s="80" t="b">
        <v>0</v>
      </c>
      <c r="AF118" s="80">
        <v>0</v>
      </c>
      <c r="AG118" s="83" t="s">
        <v>952</v>
      </c>
      <c r="AH118" s="80" t="b">
        <v>0</v>
      </c>
      <c r="AI118" s="80" t="s">
        <v>967</v>
      </c>
      <c r="AJ118" s="80"/>
      <c r="AK118" s="83" t="s">
        <v>952</v>
      </c>
      <c r="AL118" s="80" t="b">
        <v>0</v>
      </c>
      <c r="AM118" s="80">
        <v>2</v>
      </c>
      <c r="AN118" s="83" t="s">
        <v>868</v>
      </c>
      <c r="AO118" s="83" t="s">
        <v>979</v>
      </c>
      <c r="AP118" s="80" t="b">
        <v>0</v>
      </c>
      <c r="AQ118" s="83" t="s">
        <v>868</v>
      </c>
      <c r="AR118" s="80" t="s">
        <v>196</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9">
        <v>0</v>
      </c>
      <c r="BG118" s="50">
        <v>0</v>
      </c>
      <c r="BH118" s="49">
        <v>0</v>
      </c>
      <c r="BI118" s="50">
        <v>0</v>
      </c>
      <c r="BJ118" s="49">
        <v>0</v>
      </c>
      <c r="BK118" s="50">
        <v>0</v>
      </c>
      <c r="BL118" s="49">
        <v>34</v>
      </c>
      <c r="BM118" s="50">
        <v>100</v>
      </c>
      <c r="BN118" s="49">
        <v>34</v>
      </c>
    </row>
    <row r="119" spans="1:66" ht="15">
      <c r="A119" s="65" t="s">
        <v>332</v>
      </c>
      <c r="B119" s="65" t="s">
        <v>377</v>
      </c>
      <c r="C119" s="66"/>
      <c r="D119" s="67"/>
      <c r="E119" s="66"/>
      <c r="F119" s="69"/>
      <c r="G119" s="66"/>
      <c r="H119" s="70"/>
      <c r="I119" s="71"/>
      <c r="J119" s="71"/>
      <c r="K119" s="35" t="s">
        <v>65</v>
      </c>
      <c r="L119" s="72">
        <v>245</v>
      </c>
      <c r="M119" s="72"/>
      <c r="N119" s="73"/>
      <c r="O119" s="80" t="s">
        <v>406</v>
      </c>
      <c r="P119" s="82">
        <v>44475.33542824074</v>
      </c>
      <c r="Q119" s="80" t="s">
        <v>471</v>
      </c>
      <c r="R119" s="85" t="str">
        <f>HYPERLINK("https://econ.trib.al/BfqdN5n")</f>
        <v>https://econ.trib.al/BfqdN5n</v>
      </c>
      <c r="S119" s="80" t="s">
        <v>528</v>
      </c>
      <c r="T119" s="80"/>
      <c r="U119" s="80"/>
      <c r="V119" s="85" t="str">
        <f>HYPERLINK("https://pbs.twimg.com/profile_images/879701858180358144/2vvZ7wVI_normal.jpg")</f>
        <v>https://pbs.twimg.com/profile_images/879701858180358144/2vvZ7wVI_normal.jpg</v>
      </c>
      <c r="W119" s="82">
        <v>44475.33542824074</v>
      </c>
      <c r="X119" s="87">
        <v>44475</v>
      </c>
      <c r="Y119" s="83" t="s">
        <v>683</v>
      </c>
      <c r="Z119" s="85" t="str">
        <f>HYPERLINK("https://twitter.com/econus/status/1445660855807266818")</f>
        <v>https://twitter.com/econus/status/1445660855807266818</v>
      </c>
      <c r="AA119" s="80"/>
      <c r="AB119" s="80"/>
      <c r="AC119" s="83" t="s">
        <v>866</v>
      </c>
      <c r="AD119" s="80"/>
      <c r="AE119" s="80" t="b">
        <v>0</v>
      </c>
      <c r="AF119" s="80">
        <v>0</v>
      </c>
      <c r="AG119" s="83" t="s">
        <v>952</v>
      </c>
      <c r="AH119" s="80" t="b">
        <v>0</v>
      </c>
      <c r="AI119" s="80" t="s">
        <v>967</v>
      </c>
      <c r="AJ119" s="80"/>
      <c r="AK119" s="83" t="s">
        <v>952</v>
      </c>
      <c r="AL119" s="80" t="b">
        <v>0</v>
      </c>
      <c r="AM119" s="80">
        <v>0</v>
      </c>
      <c r="AN119" s="83" t="s">
        <v>952</v>
      </c>
      <c r="AO119" s="83" t="s">
        <v>990</v>
      </c>
      <c r="AP119" s="80" t="b">
        <v>0</v>
      </c>
      <c r="AQ119" s="83" t="s">
        <v>866</v>
      </c>
      <c r="AR119" s="80" t="s">
        <v>196</v>
      </c>
      <c r="AS119" s="80">
        <v>0</v>
      </c>
      <c r="AT119" s="80">
        <v>0</v>
      </c>
      <c r="AU119" s="80"/>
      <c r="AV119" s="80"/>
      <c r="AW119" s="80"/>
      <c r="AX119" s="80"/>
      <c r="AY119" s="80"/>
      <c r="AZ119" s="80"/>
      <c r="BA119" s="80"/>
      <c r="BB119" s="80"/>
      <c r="BC119">
        <v>6</v>
      </c>
      <c r="BD119" s="79" t="str">
        <f>REPLACE(INDEX(GroupVertices[Group],MATCH(Edges25[[#This Row],[Vertex 1]],GroupVertices[Vertex],0)),1,1,"")</f>
        <v>1</v>
      </c>
      <c r="BE119" s="79" t="str">
        <f>REPLACE(INDEX(GroupVertices[Group],MATCH(Edges25[[#This Row],[Vertex 2]],GroupVertices[Vertex],0)),1,1,"")</f>
        <v>1</v>
      </c>
      <c r="BF119" s="49"/>
      <c r="BG119" s="50"/>
      <c r="BH119" s="49"/>
      <c r="BI119" s="50"/>
      <c r="BJ119" s="49"/>
      <c r="BK119" s="50"/>
      <c r="BL119" s="49"/>
      <c r="BM119" s="50"/>
      <c r="BN119" s="49"/>
    </row>
    <row r="120" spans="1:66" ht="15">
      <c r="A120" s="65" t="s">
        <v>332</v>
      </c>
      <c r="B120" s="65" t="s">
        <v>377</v>
      </c>
      <c r="C120" s="66"/>
      <c r="D120" s="67"/>
      <c r="E120" s="66"/>
      <c r="F120" s="69"/>
      <c r="G120" s="66"/>
      <c r="H120" s="70"/>
      <c r="I120" s="71"/>
      <c r="J120" s="71"/>
      <c r="K120" s="35" t="s">
        <v>65</v>
      </c>
      <c r="L120" s="72">
        <v>248</v>
      </c>
      <c r="M120" s="72"/>
      <c r="N120" s="73"/>
      <c r="O120" s="80" t="s">
        <v>406</v>
      </c>
      <c r="P120" s="82">
        <v>44476.335497685184</v>
      </c>
      <c r="Q120" s="80" t="s">
        <v>431</v>
      </c>
      <c r="R120" s="85" t="str">
        <f>HYPERLINK("https://econ.trib.al/NL8KzOD")</f>
        <v>https://econ.trib.al/NL8KzOD</v>
      </c>
      <c r="S120" s="80" t="s">
        <v>528</v>
      </c>
      <c r="T120" s="80"/>
      <c r="U120" s="80"/>
      <c r="V120" s="85" t="str">
        <f>HYPERLINK("https://pbs.twimg.com/profile_images/879701858180358144/2vvZ7wVI_normal.jpg")</f>
        <v>https://pbs.twimg.com/profile_images/879701858180358144/2vvZ7wVI_normal.jpg</v>
      </c>
      <c r="W120" s="82">
        <v>44476.335497685184</v>
      </c>
      <c r="X120" s="87">
        <v>44476</v>
      </c>
      <c r="Y120" s="83" t="s">
        <v>684</v>
      </c>
      <c r="Z120" s="85" t="str">
        <f>HYPERLINK("https://twitter.com/econus/status/1446023267106578435")</f>
        <v>https://twitter.com/econus/status/1446023267106578435</v>
      </c>
      <c r="AA120" s="80"/>
      <c r="AB120" s="80"/>
      <c r="AC120" s="83" t="s">
        <v>867</v>
      </c>
      <c r="AD120" s="80"/>
      <c r="AE120" s="80" t="b">
        <v>0</v>
      </c>
      <c r="AF120" s="80">
        <v>1</v>
      </c>
      <c r="AG120" s="83" t="s">
        <v>952</v>
      </c>
      <c r="AH120" s="80" t="b">
        <v>0</v>
      </c>
      <c r="AI120" s="80" t="s">
        <v>967</v>
      </c>
      <c r="AJ120" s="80"/>
      <c r="AK120" s="83" t="s">
        <v>952</v>
      </c>
      <c r="AL120" s="80" t="b">
        <v>0</v>
      </c>
      <c r="AM120" s="80">
        <v>2</v>
      </c>
      <c r="AN120" s="83" t="s">
        <v>952</v>
      </c>
      <c r="AO120" s="83" t="s">
        <v>990</v>
      </c>
      <c r="AP120" s="80" t="b">
        <v>0</v>
      </c>
      <c r="AQ120" s="83" t="s">
        <v>867</v>
      </c>
      <c r="AR120" s="80" t="s">
        <v>196</v>
      </c>
      <c r="AS120" s="80">
        <v>0</v>
      </c>
      <c r="AT120" s="80">
        <v>0</v>
      </c>
      <c r="AU120" s="80"/>
      <c r="AV120" s="80"/>
      <c r="AW120" s="80"/>
      <c r="AX120" s="80"/>
      <c r="AY120" s="80"/>
      <c r="AZ120" s="80"/>
      <c r="BA120" s="80"/>
      <c r="BB120" s="80"/>
      <c r="BC120">
        <v>6</v>
      </c>
      <c r="BD120" s="79" t="str">
        <f>REPLACE(INDEX(GroupVertices[Group],MATCH(Edges25[[#This Row],[Vertex 1]],GroupVertices[Vertex],0)),1,1,"")</f>
        <v>1</v>
      </c>
      <c r="BE120" s="79" t="str">
        <f>REPLACE(INDEX(GroupVertices[Group],MATCH(Edges25[[#This Row],[Vertex 2]],GroupVertices[Vertex],0)),1,1,"")</f>
        <v>1</v>
      </c>
      <c r="BF120" s="49"/>
      <c r="BG120" s="50"/>
      <c r="BH120" s="49"/>
      <c r="BI120" s="50"/>
      <c r="BJ120" s="49"/>
      <c r="BK120" s="50"/>
      <c r="BL120" s="49"/>
      <c r="BM120" s="50"/>
      <c r="BN120" s="49"/>
    </row>
    <row r="121" spans="1:66" ht="15">
      <c r="A121" s="65" t="s">
        <v>332</v>
      </c>
      <c r="B121" s="65" t="s">
        <v>377</v>
      </c>
      <c r="C121" s="66"/>
      <c r="D121" s="67"/>
      <c r="E121" s="66"/>
      <c r="F121" s="69"/>
      <c r="G121" s="66"/>
      <c r="H121" s="70"/>
      <c r="I121" s="71"/>
      <c r="J121" s="71"/>
      <c r="K121" s="35" t="s">
        <v>65</v>
      </c>
      <c r="L121" s="72">
        <v>251</v>
      </c>
      <c r="M121" s="72"/>
      <c r="N121" s="73"/>
      <c r="O121" s="80" t="s">
        <v>406</v>
      </c>
      <c r="P121" s="82">
        <v>44477.335486111115</v>
      </c>
      <c r="Q121" s="80" t="s">
        <v>470</v>
      </c>
      <c r="R121" s="85" t="str">
        <f>HYPERLINK("https://econ.trib.al/AoNqILv")</f>
        <v>https://econ.trib.al/AoNqILv</v>
      </c>
      <c r="S121" s="80" t="s">
        <v>528</v>
      </c>
      <c r="T121" s="80"/>
      <c r="U121" s="80"/>
      <c r="V121" s="85" t="str">
        <f>HYPERLINK("https://pbs.twimg.com/profile_images/879701858180358144/2vvZ7wVI_normal.jpg")</f>
        <v>https://pbs.twimg.com/profile_images/879701858180358144/2vvZ7wVI_normal.jpg</v>
      </c>
      <c r="W121" s="82">
        <v>44477.335486111115</v>
      </c>
      <c r="X121" s="87">
        <v>44477</v>
      </c>
      <c r="Y121" s="83" t="s">
        <v>685</v>
      </c>
      <c r="Z121" s="85" t="str">
        <f>HYPERLINK("https://twitter.com/econus/status/1446385652564701218")</f>
        <v>https://twitter.com/econus/status/1446385652564701218</v>
      </c>
      <c r="AA121" s="80"/>
      <c r="AB121" s="80"/>
      <c r="AC121" s="83" t="s">
        <v>868</v>
      </c>
      <c r="AD121" s="80"/>
      <c r="AE121" s="80" t="b">
        <v>0</v>
      </c>
      <c r="AF121" s="80">
        <v>3</v>
      </c>
      <c r="AG121" s="83" t="s">
        <v>952</v>
      </c>
      <c r="AH121" s="80" t="b">
        <v>0</v>
      </c>
      <c r="AI121" s="80" t="s">
        <v>967</v>
      </c>
      <c r="AJ121" s="80"/>
      <c r="AK121" s="83" t="s">
        <v>952</v>
      </c>
      <c r="AL121" s="80" t="b">
        <v>0</v>
      </c>
      <c r="AM121" s="80">
        <v>2</v>
      </c>
      <c r="AN121" s="83" t="s">
        <v>952</v>
      </c>
      <c r="AO121" s="83" t="s">
        <v>990</v>
      </c>
      <c r="AP121" s="80" t="b">
        <v>0</v>
      </c>
      <c r="AQ121" s="83" t="s">
        <v>868</v>
      </c>
      <c r="AR121" s="80" t="s">
        <v>196</v>
      </c>
      <c r="AS121" s="80">
        <v>0</v>
      </c>
      <c r="AT121" s="80">
        <v>0</v>
      </c>
      <c r="AU121" s="80"/>
      <c r="AV121" s="80"/>
      <c r="AW121" s="80"/>
      <c r="AX121" s="80"/>
      <c r="AY121" s="80"/>
      <c r="AZ121" s="80"/>
      <c r="BA121" s="80"/>
      <c r="BB121" s="80"/>
      <c r="BC121">
        <v>6</v>
      </c>
      <c r="BD121" s="79" t="str">
        <f>REPLACE(INDEX(GroupVertices[Group],MATCH(Edges25[[#This Row],[Vertex 1]],GroupVertices[Vertex],0)),1,1,"")</f>
        <v>1</v>
      </c>
      <c r="BE121" s="79" t="str">
        <f>REPLACE(INDEX(GroupVertices[Group],MATCH(Edges25[[#This Row],[Vertex 2]],GroupVertices[Vertex],0)),1,1,"")</f>
        <v>1</v>
      </c>
      <c r="BF121" s="49"/>
      <c r="BG121" s="50"/>
      <c r="BH121" s="49"/>
      <c r="BI121" s="50"/>
      <c r="BJ121" s="49"/>
      <c r="BK121" s="50"/>
      <c r="BL121" s="49"/>
      <c r="BM121" s="50"/>
      <c r="BN121" s="49"/>
    </row>
    <row r="122" spans="1:66" ht="15">
      <c r="A122" s="65" t="s">
        <v>332</v>
      </c>
      <c r="B122" s="65" t="s">
        <v>377</v>
      </c>
      <c r="C122" s="66"/>
      <c r="D122" s="67"/>
      <c r="E122" s="66"/>
      <c r="F122" s="69"/>
      <c r="G122" s="66"/>
      <c r="H122" s="70"/>
      <c r="I122" s="71"/>
      <c r="J122" s="71"/>
      <c r="K122" s="35" t="s">
        <v>65</v>
      </c>
      <c r="L122" s="72">
        <v>254</v>
      </c>
      <c r="M122" s="72"/>
      <c r="N122" s="73"/>
      <c r="O122" s="80" t="s">
        <v>406</v>
      </c>
      <c r="P122" s="82">
        <v>44478.33546296296</v>
      </c>
      <c r="Q122" s="80" t="s">
        <v>472</v>
      </c>
      <c r="R122" s="85" t="str">
        <f>HYPERLINK("https://econ.trib.al/hX2OEYl")</f>
        <v>https://econ.trib.al/hX2OEYl</v>
      </c>
      <c r="S122" s="80" t="s">
        <v>528</v>
      </c>
      <c r="T122" s="80"/>
      <c r="U122" s="80"/>
      <c r="V122" s="85" t="str">
        <f>HYPERLINK("https://pbs.twimg.com/profile_images/879701858180358144/2vvZ7wVI_normal.jpg")</f>
        <v>https://pbs.twimg.com/profile_images/879701858180358144/2vvZ7wVI_normal.jpg</v>
      </c>
      <c r="W122" s="82">
        <v>44478.33546296296</v>
      </c>
      <c r="X122" s="87">
        <v>44478</v>
      </c>
      <c r="Y122" s="83" t="s">
        <v>686</v>
      </c>
      <c r="Z122" s="85" t="str">
        <f>HYPERLINK("https://twitter.com/econus/status/1446748031924285451")</f>
        <v>https://twitter.com/econus/status/1446748031924285451</v>
      </c>
      <c r="AA122" s="80"/>
      <c r="AB122" s="80"/>
      <c r="AC122" s="83" t="s">
        <v>869</v>
      </c>
      <c r="AD122" s="80"/>
      <c r="AE122" s="80" t="b">
        <v>0</v>
      </c>
      <c r="AF122" s="80">
        <v>0</v>
      </c>
      <c r="AG122" s="83" t="s">
        <v>952</v>
      </c>
      <c r="AH122" s="80" t="b">
        <v>0</v>
      </c>
      <c r="AI122" s="80" t="s">
        <v>967</v>
      </c>
      <c r="AJ122" s="80"/>
      <c r="AK122" s="83" t="s">
        <v>952</v>
      </c>
      <c r="AL122" s="80" t="b">
        <v>0</v>
      </c>
      <c r="AM122" s="80">
        <v>0</v>
      </c>
      <c r="AN122" s="83" t="s">
        <v>952</v>
      </c>
      <c r="AO122" s="83" t="s">
        <v>990</v>
      </c>
      <c r="AP122" s="80" t="b">
        <v>0</v>
      </c>
      <c r="AQ122" s="83" t="s">
        <v>869</v>
      </c>
      <c r="AR122" s="80" t="s">
        <v>196</v>
      </c>
      <c r="AS122" s="80">
        <v>0</v>
      </c>
      <c r="AT122" s="80">
        <v>0</v>
      </c>
      <c r="AU122" s="80"/>
      <c r="AV122" s="80"/>
      <c r="AW122" s="80"/>
      <c r="AX122" s="80"/>
      <c r="AY122" s="80"/>
      <c r="AZ122" s="80"/>
      <c r="BA122" s="80"/>
      <c r="BB122" s="80"/>
      <c r="BC122">
        <v>6</v>
      </c>
      <c r="BD122" s="79" t="str">
        <f>REPLACE(INDEX(GroupVertices[Group],MATCH(Edges25[[#This Row],[Vertex 1]],GroupVertices[Vertex],0)),1,1,"")</f>
        <v>1</v>
      </c>
      <c r="BE122" s="79" t="str">
        <f>REPLACE(INDEX(GroupVertices[Group],MATCH(Edges25[[#This Row],[Vertex 2]],GroupVertices[Vertex],0)),1,1,"")</f>
        <v>1</v>
      </c>
      <c r="BF122" s="49"/>
      <c r="BG122" s="50"/>
      <c r="BH122" s="49"/>
      <c r="BI122" s="50"/>
      <c r="BJ122" s="49"/>
      <c r="BK122" s="50"/>
      <c r="BL122" s="49"/>
      <c r="BM122" s="50"/>
      <c r="BN122" s="49"/>
    </row>
    <row r="123" spans="1:66" ht="15">
      <c r="A123" s="65" t="s">
        <v>332</v>
      </c>
      <c r="B123" s="65" t="s">
        <v>377</v>
      </c>
      <c r="C123" s="66"/>
      <c r="D123" s="67"/>
      <c r="E123" s="66"/>
      <c r="F123" s="69"/>
      <c r="G123" s="66"/>
      <c r="H123" s="70"/>
      <c r="I123" s="71"/>
      <c r="J123" s="71"/>
      <c r="K123" s="35" t="s">
        <v>65</v>
      </c>
      <c r="L123" s="72">
        <v>257</v>
      </c>
      <c r="M123" s="72"/>
      <c r="N123" s="73"/>
      <c r="O123" s="80" t="s">
        <v>406</v>
      </c>
      <c r="P123" s="82">
        <v>44479.33546296296</v>
      </c>
      <c r="Q123" s="80" t="s">
        <v>473</v>
      </c>
      <c r="R123" s="85" t="str">
        <f>HYPERLINK("https://econ.trib.al/fJkeRl8")</f>
        <v>https://econ.trib.al/fJkeRl8</v>
      </c>
      <c r="S123" s="80" t="s">
        <v>528</v>
      </c>
      <c r="T123" s="80"/>
      <c r="U123" s="80"/>
      <c r="V123" s="85" t="str">
        <f>HYPERLINK("https://pbs.twimg.com/profile_images/879701858180358144/2vvZ7wVI_normal.jpg")</f>
        <v>https://pbs.twimg.com/profile_images/879701858180358144/2vvZ7wVI_normal.jpg</v>
      </c>
      <c r="W123" s="82">
        <v>44479.33546296296</v>
      </c>
      <c r="X123" s="87">
        <v>44479</v>
      </c>
      <c r="Y123" s="83" t="s">
        <v>686</v>
      </c>
      <c r="Z123" s="85" t="str">
        <f>HYPERLINK("https://twitter.com/econus/status/1447110417910747137")</f>
        <v>https://twitter.com/econus/status/1447110417910747137</v>
      </c>
      <c r="AA123" s="80"/>
      <c r="AB123" s="80"/>
      <c r="AC123" s="83" t="s">
        <v>870</v>
      </c>
      <c r="AD123" s="80"/>
      <c r="AE123" s="80" t="b">
        <v>0</v>
      </c>
      <c r="AF123" s="80">
        <v>0</v>
      </c>
      <c r="AG123" s="83" t="s">
        <v>952</v>
      </c>
      <c r="AH123" s="80" t="b">
        <v>0</v>
      </c>
      <c r="AI123" s="80" t="s">
        <v>967</v>
      </c>
      <c r="AJ123" s="80"/>
      <c r="AK123" s="83" t="s">
        <v>952</v>
      </c>
      <c r="AL123" s="80" t="b">
        <v>0</v>
      </c>
      <c r="AM123" s="80">
        <v>1</v>
      </c>
      <c r="AN123" s="83" t="s">
        <v>952</v>
      </c>
      <c r="AO123" s="83" t="s">
        <v>990</v>
      </c>
      <c r="AP123" s="80" t="b">
        <v>0</v>
      </c>
      <c r="AQ123" s="83" t="s">
        <v>870</v>
      </c>
      <c r="AR123" s="80" t="s">
        <v>196</v>
      </c>
      <c r="AS123" s="80">
        <v>0</v>
      </c>
      <c r="AT123" s="80">
        <v>0</v>
      </c>
      <c r="AU123" s="80"/>
      <c r="AV123" s="80"/>
      <c r="AW123" s="80"/>
      <c r="AX123" s="80"/>
      <c r="AY123" s="80"/>
      <c r="AZ123" s="80"/>
      <c r="BA123" s="80"/>
      <c r="BB123" s="80"/>
      <c r="BC123">
        <v>6</v>
      </c>
      <c r="BD123" s="79" t="str">
        <f>REPLACE(INDEX(GroupVertices[Group],MATCH(Edges25[[#This Row],[Vertex 1]],GroupVertices[Vertex],0)),1,1,"")</f>
        <v>1</v>
      </c>
      <c r="BE123" s="79" t="str">
        <f>REPLACE(INDEX(GroupVertices[Group],MATCH(Edges25[[#This Row],[Vertex 2]],GroupVertices[Vertex],0)),1,1,"")</f>
        <v>1</v>
      </c>
      <c r="BF123" s="49"/>
      <c r="BG123" s="50"/>
      <c r="BH123" s="49"/>
      <c r="BI123" s="50"/>
      <c r="BJ123" s="49"/>
      <c r="BK123" s="50"/>
      <c r="BL123" s="49"/>
      <c r="BM123" s="50"/>
      <c r="BN123" s="49"/>
    </row>
    <row r="124" spans="1:66" ht="15">
      <c r="A124" s="65" t="s">
        <v>332</v>
      </c>
      <c r="B124" s="65" t="s">
        <v>377</v>
      </c>
      <c r="C124" s="66"/>
      <c r="D124" s="67"/>
      <c r="E124" s="66"/>
      <c r="F124" s="69"/>
      <c r="G124" s="66"/>
      <c r="H124" s="70"/>
      <c r="I124" s="71"/>
      <c r="J124" s="71"/>
      <c r="K124" s="35" t="s">
        <v>65</v>
      </c>
      <c r="L124" s="72">
        <v>260</v>
      </c>
      <c r="M124" s="72"/>
      <c r="N124" s="73"/>
      <c r="O124" s="80" t="s">
        <v>406</v>
      </c>
      <c r="P124" s="82">
        <v>44480.335486111115</v>
      </c>
      <c r="Q124" s="80" t="s">
        <v>474</v>
      </c>
      <c r="R124" s="85" t="str">
        <f>HYPERLINK("https://econ.trib.al/6yo11AH")</f>
        <v>https://econ.trib.al/6yo11AH</v>
      </c>
      <c r="S124" s="80" t="s">
        <v>528</v>
      </c>
      <c r="T124" s="80"/>
      <c r="U124" s="80"/>
      <c r="V124" s="85" t="str">
        <f>HYPERLINK("https://pbs.twimg.com/profile_images/879701858180358144/2vvZ7wVI_normal.jpg")</f>
        <v>https://pbs.twimg.com/profile_images/879701858180358144/2vvZ7wVI_normal.jpg</v>
      </c>
      <c r="W124" s="82">
        <v>44480.335486111115</v>
      </c>
      <c r="X124" s="87">
        <v>44480</v>
      </c>
      <c r="Y124" s="83" t="s">
        <v>685</v>
      </c>
      <c r="Z124" s="85" t="str">
        <f>HYPERLINK("https://twitter.com/econus/status/1447472813431001091")</f>
        <v>https://twitter.com/econus/status/1447472813431001091</v>
      </c>
      <c r="AA124" s="80"/>
      <c r="AB124" s="80"/>
      <c r="AC124" s="83" t="s">
        <v>871</v>
      </c>
      <c r="AD124" s="80"/>
      <c r="AE124" s="80" t="b">
        <v>0</v>
      </c>
      <c r="AF124" s="80">
        <v>0</v>
      </c>
      <c r="AG124" s="83" t="s">
        <v>952</v>
      </c>
      <c r="AH124" s="80" t="b">
        <v>0</v>
      </c>
      <c r="AI124" s="80" t="s">
        <v>967</v>
      </c>
      <c r="AJ124" s="80"/>
      <c r="AK124" s="83" t="s">
        <v>952</v>
      </c>
      <c r="AL124" s="80" t="b">
        <v>0</v>
      </c>
      <c r="AM124" s="80">
        <v>0</v>
      </c>
      <c r="AN124" s="83" t="s">
        <v>952</v>
      </c>
      <c r="AO124" s="83" t="s">
        <v>990</v>
      </c>
      <c r="AP124" s="80" t="b">
        <v>0</v>
      </c>
      <c r="AQ124" s="83" t="s">
        <v>871</v>
      </c>
      <c r="AR124" s="80" t="s">
        <v>196</v>
      </c>
      <c r="AS124" s="80">
        <v>0</v>
      </c>
      <c r="AT124" s="80">
        <v>0</v>
      </c>
      <c r="AU124" s="80"/>
      <c r="AV124" s="80"/>
      <c r="AW124" s="80"/>
      <c r="AX124" s="80"/>
      <c r="AY124" s="80"/>
      <c r="AZ124" s="80"/>
      <c r="BA124" s="80"/>
      <c r="BB124" s="80"/>
      <c r="BC124">
        <v>6</v>
      </c>
      <c r="BD124" s="79" t="str">
        <f>REPLACE(INDEX(GroupVertices[Group],MATCH(Edges25[[#This Row],[Vertex 1]],GroupVertices[Vertex],0)),1,1,"")</f>
        <v>1</v>
      </c>
      <c r="BE124" s="79" t="str">
        <f>REPLACE(INDEX(GroupVertices[Group],MATCH(Edges25[[#This Row],[Vertex 2]],GroupVertices[Vertex],0)),1,1,"")</f>
        <v>1</v>
      </c>
      <c r="BF124" s="49"/>
      <c r="BG124" s="50"/>
      <c r="BH124" s="49"/>
      <c r="BI124" s="50"/>
      <c r="BJ124" s="49"/>
      <c r="BK124" s="50"/>
      <c r="BL124" s="49"/>
      <c r="BM124" s="50"/>
      <c r="BN124" s="49"/>
    </row>
    <row r="125" spans="1:66" ht="15">
      <c r="A125" s="65" t="s">
        <v>333</v>
      </c>
      <c r="B125" s="65" t="s">
        <v>332</v>
      </c>
      <c r="C125" s="66"/>
      <c r="D125" s="67"/>
      <c r="E125" s="66"/>
      <c r="F125" s="69"/>
      <c r="G125" s="66"/>
      <c r="H125" s="70"/>
      <c r="I125" s="71"/>
      <c r="J125" s="71"/>
      <c r="K125" s="35" t="s">
        <v>65</v>
      </c>
      <c r="L125" s="72">
        <v>263</v>
      </c>
      <c r="M125" s="72"/>
      <c r="N125" s="73"/>
      <c r="O125" s="80" t="s">
        <v>406</v>
      </c>
      <c r="P125" s="82">
        <v>44475.33678240741</v>
      </c>
      <c r="Q125" s="80" t="s">
        <v>475</v>
      </c>
      <c r="R125" s="85" t="str">
        <f>HYPERLINK("https://econ.trib.al/BfqdN5n")</f>
        <v>https://econ.trib.al/BfqdN5n</v>
      </c>
      <c r="S125" s="80" t="s">
        <v>528</v>
      </c>
      <c r="T125" s="80"/>
      <c r="U125" s="80"/>
      <c r="V125" s="85" t="str">
        <f>HYPERLINK("https://pbs.twimg.com/profile_images/1354343790060969990/Fqw5w_P0_normal.jpg")</f>
        <v>https://pbs.twimg.com/profile_images/1354343790060969990/Fqw5w_P0_normal.jpg</v>
      </c>
      <c r="W125" s="82">
        <v>44475.33678240741</v>
      </c>
      <c r="X125" s="87">
        <v>44475</v>
      </c>
      <c r="Y125" s="83" t="s">
        <v>687</v>
      </c>
      <c r="Z125" s="85" t="str">
        <f>HYPERLINK("https://twitter.com/jfrusci/status/1445661345777475584")</f>
        <v>https://twitter.com/jfrusci/status/1445661345777475584</v>
      </c>
      <c r="AA125" s="80"/>
      <c r="AB125" s="80"/>
      <c r="AC125" s="83" t="s">
        <v>872</v>
      </c>
      <c r="AD125" s="80"/>
      <c r="AE125" s="80" t="b">
        <v>0</v>
      </c>
      <c r="AF125" s="80">
        <v>0</v>
      </c>
      <c r="AG125" s="83" t="s">
        <v>952</v>
      </c>
      <c r="AH125" s="80" t="b">
        <v>0</v>
      </c>
      <c r="AI125" s="80" t="s">
        <v>967</v>
      </c>
      <c r="AJ125" s="80"/>
      <c r="AK125" s="83" t="s">
        <v>952</v>
      </c>
      <c r="AL125" s="80" t="b">
        <v>0</v>
      </c>
      <c r="AM125" s="80">
        <v>0</v>
      </c>
      <c r="AN125" s="83" t="s">
        <v>952</v>
      </c>
      <c r="AO125" s="83" t="s">
        <v>991</v>
      </c>
      <c r="AP125" s="80" t="b">
        <v>0</v>
      </c>
      <c r="AQ125" s="83" t="s">
        <v>872</v>
      </c>
      <c r="AR125" s="80" t="s">
        <v>196</v>
      </c>
      <c r="AS125" s="80">
        <v>0</v>
      </c>
      <c r="AT125" s="80">
        <v>0</v>
      </c>
      <c r="AU125" s="80"/>
      <c r="AV125" s="80"/>
      <c r="AW125" s="80"/>
      <c r="AX125" s="80"/>
      <c r="AY125" s="80"/>
      <c r="AZ125" s="80"/>
      <c r="BA125" s="80"/>
      <c r="BB125" s="80"/>
      <c r="BC125">
        <v>6</v>
      </c>
      <c r="BD125" s="79" t="str">
        <f>REPLACE(INDEX(GroupVertices[Group],MATCH(Edges25[[#This Row],[Vertex 1]],GroupVertices[Vertex],0)),1,1,"")</f>
        <v>1</v>
      </c>
      <c r="BE125" s="79" t="str">
        <f>REPLACE(INDEX(GroupVertices[Group],MATCH(Edges25[[#This Row],[Vertex 2]],GroupVertices[Vertex],0)),1,1,"")</f>
        <v>1</v>
      </c>
      <c r="BF125" s="49"/>
      <c r="BG125" s="50"/>
      <c r="BH125" s="49"/>
      <c r="BI125" s="50"/>
      <c r="BJ125" s="49"/>
      <c r="BK125" s="50"/>
      <c r="BL125" s="49"/>
      <c r="BM125" s="50"/>
      <c r="BN125" s="49"/>
    </row>
    <row r="126" spans="1:66" ht="15">
      <c r="A126" s="65" t="s">
        <v>333</v>
      </c>
      <c r="B126" s="65" t="s">
        <v>332</v>
      </c>
      <c r="C126" s="66"/>
      <c r="D126" s="67"/>
      <c r="E126" s="66"/>
      <c r="F126" s="69"/>
      <c r="G126" s="66"/>
      <c r="H126" s="70"/>
      <c r="I126" s="71"/>
      <c r="J126" s="71"/>
      <c r="K126" s="35" t="s">
        <v>65</v>
      </c>
      <c r="L126" s="72">
        <v>264</v>
      </c>
      <c r="M126" s="72"/>
      <c r="N126" s="73"/>
      <c r="O126" s="80" t="s">
        <v>406</v>
      </c>
      <c r="P126" s="82">
        <v>44476.33560185185</v>
      </c>
      <c r="Q126" s="80" t="s">
        <v>476</v>
      </c>
      <c r="R126" s="85" t="str">
        <f>HYPERLINK("https://econ.trib.al/NL8KzOD")</f>
        <v>https://econ.trib.al/NL8KzOD</v>
      </c>
      <c r="S126" s="80" t="s">
        <v>528</v>
      </c>
      <c r="T126" s="80"/>
      <c r="U126" s="80"/>
      <c r="V126" s="85" t="str">
        <f>HYPERLINK("https://pbs.twimg.com/profile_images/1354343790060969990/Fqw5w_P0_normal.jpg")</f>
        <v>https://pbs.twimg.com/profile_images/1354343790060969990/Fqw5w_P0_normal.jpg</v>
      </c>
      <c r="W126" s="82">
        <v>44476.33560185185</v>
      </c>
      <c r="X126" s="87">
        <v>44476</v>
      </c>
      <c r="Y126" s="83" t="s">
        <v>688</v>
      </c>
      <c r="Z126" s="85" t="str">
        <f>HYPERLINK("https://twitter.com/jfrusci/status/1446023305828372481")</f>
        <v>https://twitter.com/jfrusci/status/1446023305828372481</v>
      </c>
      <c r="AA126" s="80"/>
      <c r="AB126" s="80"/>
      <c r="AC126" s="83" t="s">
        <v>873</v>
      </c>
      <c r="AD126" s="80"/>
      <c r="AE126" s="80" t="b">
        <v>0</v>
      </c>
      <c r="AF126" s="80">
        <v>0</v>
      </c>
      <c r="AG126" s="83" t="s">
        <v>952</v>
      </c>
      <c r="AH126" s="80" t="b">
        <v>0</v>
      </c>
      <c r="AI126" s="80" t="s">
        <v>967</v>
      </c>
      <c r="AJ126" s="80"/>
      <c r="AK126" s="83" t="s">
        <v>952</v>
      </c>
      <c r="AL126" s="80" t="b">
        <v>0</v>
      </c>
      <c r="AM126" s="80">
        <v>0</v>
      </c>
      <c r="AN126" s="83" t="s">
        <v>952</v>
      </c>
      <c r="AO126" s="83" t="s">
        <v>991</v>
      </c>
      <c r="AP126" s="80" t="b">
        <v>0</v>
      </c>
      <c r="AQ126" s="83" t="s">
        <v>873</v>
      </c>
      <c r="AR126" s="80" t="s">
        <v>196</v>
      </c>
      <c r="AS126" s="80">
        <v>0</v>
      </c>
      <c r="AT126" s="80">
        <v>0</v>
      </c>
      <c r="AU126" s="80"/>
      <c r="AV126" s="80"/>
      <c r="AW126" s="80"/>
      <c r="AX126" s="80"/>
      <c r="AY126" s="80"/>
      <c r="AZ126" s="80"/>
      <c r="BA126" s="80"/>
      <c r="BB126" s="80"/>
      <c r="BC126">
        <v>6</v>
      </c>
      <c r="BD126" s="79" t="str">
        <f>REPLACE(INDEX(GroupVertices[Group],MATCH(Edges25[[#This Row],[Vertex 1]],GroupVertices[Vertex],0)),1,1,"")</f>
        <v>1</v>
      </c>
      <c r="BE126" s="79" t="str">
        <f>REPLACE(INDEX(GroupVertices[Group],MATCH(Edges25[[#This Row],[Vertex 2]],GroupVertices[Vertex],0)),1,1,"")</f>
        <v>1</v>
      </c>
      <c r="BF126" s="49"/>
      <c r="BG126" s="50"/>
      <c r="BH126" s="49"/>
      <c r="BI126" s="50"/>
      <c r="BJ126" s="49"/>
      <c r="BK126" s="50"/>
      <c r="BL126" s="49"/>
      <c r="BM126" s="50"/>
      <c r="BN126" s="49"/>
    </row>
    <row r="127" spans="1:66" ht="15">
      <c r="A127" s="65" t="s">
        <v>333</v>
      </c>
      <c r="B127" s="65" t="s">
        <v>332</v>
      </c>
      <c r="C127" s="66"/>
      <c r="D127" s="67"/>
      <c r="E127" s="66"/>
      <c r="F127" s="69"/>
      <c r="G127" s="66"/>
      <c r="H127" s="70"/>
      <c r="I127" s="71"/>
      <c r="J127" s="71"/>
      <c r="K127" s="35" t="s">
        <v>65</v>
      </c>
      <c r="L127" s="72">
        <v>265</v>
      </c>
      <c r="M127" s="72"/>
      <c r="N127" s="73"/>
      <c r="O127" s="80" t="s">
        <v>406</v>
      </c>
      <c r="P127" s="82">
        <v>44477.33628472222</v>
      </c>
      <c r="Q127" s="80" t="s">
        <v>477</v>
      </c>
      <c r="R127" s="85" t="str">
        <f>HYPERLINK("https://econ.trib.al/AoNqILv")</f>
        <v>https://econ.trib.al/AoNqILv</v>
      </c>
      <c r="S127" s="80" t="s">
        <v>528</v>
      </c>
      <c r="T127" s="80"/>
      <c r="U127" s="80"/>
      <c r="V127" s="85" t="str">
        <f>HYPERLINK("https://pbs.twimg.com/profile_images/1354343790060969990/Fqw5w_P0_normal.jpg")</f>
        <v>https://pbs.twimg.com/profile_images/1354343790060969990/Fqw5w_P0_normal.jpg</v>
      </c>
      <c r="W127" s="82">
        <v>44477.33628472222</v>
      </c>
      <c r="X127" s="87">
        <v>44477</v>
      </c>
      <c r="Y127" s="83" t="s">
        <v>689</v>
      </c>
      <c r="Z127" s="85" t="str">
        <f>HYPERLINK("https://twitter.com/jfrusci/status/1446385941086679076")</f>
        <v>https://twitter.com/jfrusci/status/1446385941086679076</v>
      </c>
      <c r="AA127" s="80"/>
      <c r="AB127" s="80"/>
      <c r="AC127" s="83" t="s">
        <v>874</v>
      </c>
      <c r="AD127" s="80"/>
      <c r="AE127" s="80" t="b">
        <v>0</v>
      </c>
      <c r="AF127" s="80">
        <v>2</v>
      </c>
      <c r="AG127" s="83" t="s">
        <v>952</v>
      </c>
      <c r="AH127" s="80" t="b">
        <v>0</v>
      </c>
      <c r="AI127" s="80" t="s">
        <v>967</v>
      </c>
      <c r="AJ127" s="80"/>
      <c r="AK127" s="83" t="s">
        <v>952</v>
      </c>
      <c r="AL127" s="80" t="b">
        <v>0</v>
      </c>
      <c r="AM127" s="80">
        <v>1</v>
      </c>
      <c r="AN127" s="83" t="s">
        <v>952</v>
      </c>
      <c r="AO127" s="83" t="s">
        <v>991</v>
      </c>
      <c r="AP127" s="80" t="b">
        <v>0</v>
      </c>
      <c r="AQ127" s="83" t="s">
        <v>874</v>
      </c>
      <c r="AR127" s="80" t="s">
        <v>196</v>
      </c>
      <c r="AS127" s="80">
        <v>0</v>
      </c>
      <c r="AT127" s="80">
        <v>0</v>
      </c>
      <c r="AU127" s="80"/>
      <c r="AV127" s="80"/>
      <c r="AW127" s="80"/>
      <c r="AX127" s="80"/>
      <c r="AY127" s="80"/>
      <c r="AZ127" s="80"/>
      <c r="BA127" s="80"/>
      <c r="BB127" s="80"/>
      <c r="BC127">
        <v>6</v>
      </c>
      <c r="BD127" s="79" t="str">
        <f>REPLACE(INDEX(GroupVertices[Group],MATCH(Edges25[[#This Row],[Vertex 1]],GroupVertices[Vertex],0)),1,1,"")</f>
        <v>1</v>
      </c>
      <c r="BE127" s="79" t="str">
        <f>REPLACE(INDEX(GroupVertices[Group],MATCH(Edges25[[#This Row],[Vertex 2]],GroupVertices[Vertex],0)),1,1,"")</f>
        <v>1</v>
      </c>
      <c r="BF127" s="49"/>
      <c r="BG127" s="50"/>
      <c r="BH127" s="49"/>
      <c r="BI127" s="50"/>
      <c r="BJ127" s="49"/>
      <c r="BK127" s="50"/>
      <c r="BL127" s="49"/>
      <c r="BM127" s="50"/>
      <c r="BN127" s="49"/>
    </row>
    <row r="128" spans="1:66" ht="15">
      <c r="A128" s="65" t="s">
        <v>333</v>
      </c>
      <c r="B128" s="65" t="s">
        <v>332</v>
      </c>
      <c r="C128" s="66"/>
      <c r="D128" s="67"/>
      <c r="E128" s="66"/>
      <c r="F128" s="69"/>
      <c r="G128" s="66"/>
      <c r="H128" s="70"/>
      <c r="I128" s="71"/>
      <c r="J128" s="71"/>
      <c r="K128" s="35" t="s">
        <v>65</v>
      </c>
      <c r="L128" s="72">
        <v>266</v>
      </c>
      <c r="M128" s="72"/>
      <c r="N128" s="73"/>
      <c r="O128" s="80" t="s">
        <v>406</v>
      </c>
      <c r="P128" s="82">
        <v>44478.3371412037</v>
      </c>
      <c r="Q128" s="80" t="s">
        <v>478</v>
      </c>
      <c r="R128" s="85" t="str">
        <f>HYPERLINK("https://econ.trib.al/hX2OEYl")</f>
        <v>https://econ.trib.al/hX2OEYl</v>
      </c>
      <c r="S128" s="80" t="s">
        <v>528</v>
      </c>
      <c r="T128" s="80"/>
      <c r="U128" s="80"/>
      <c r="V128" s="85" t="str">
        <f>HYPERLINK("https://pbs.twimg.com/profile_images/1354343790060969990/Fqw5w_P0_normal.jpg")</f>
        <v>https://pbs.twimg.com/profile_images/1354343790060969990/Fqw5w_P0_normal.jpg</v>
      </c>
      <c r="W128" s="82">
        <v>44478.3371412037</v>
      </c>
      <c r="X128" s="87">
        <v>44478</v>
      </c>
      <c r="Y128" s="83" t="s">
        <v>690</v>
      </c>
      <c r="Z128" s="85" t="str">
        <f>HYPERLINK("https://twitter.com/jfrusci/status/1446748639930552326")</f>
        <v>https://twitter.com/jfrusci/status/1446748639930552326</v>
      </c>
      <c r="AA128" s="80"/>
      <c r="AB128" s="80"/>
      <c r="AC128" s="83" t="s">
        <v>875</v>
      </c>
      <c r="AD128" s="80"/>
      <c r="AE128" s="80" t="b">
        <v>0</v>
      </c>
      <c r="AF128" s="80">
        <v>0</v>
      </c>
      <c r="AG128" s="83" t="s">
        <v>952</v>
      </c>
      <c r="AH128" s="80" t="b">
        <v>0</v>
      </c>
      <c r="AI128" s="80" t="s">
        <v>967</v>
      </c>
      <c r="AJ128" s="80"/>
      <c r="AK128" s="83" t="s">
        <v>952</v>
      </c>
      <c r="AL128" s="80" t="b">
        <v>0</v>
      </c>
      <c r="AM128" s="80">
        <v>0</v>
      </c>
      <c r="AN128" s="83" t="s">
        <v>952</v>
      </c>
      <c r="AO128" s="83" t="s">
        <v>991</v>
      </c>
      <c r="AP128" s="80" t="b">
        <v>0</v>
      </c>
      <c r="AQ128" s="83" t="s">
        <v>875</v>
      </c>
      <c r="AR128" s="80" t="s">
        <v>196</v>
      </c>
      <c r="AS128" s="80">
        <v>0</v>
      </c>
      <c r="AT128" s="80">
        <v>0</v>
      </c>
      <c r="AU128" s="80"/>
      <c r="AV128" s="80"/>
      <c r="AW128" s="80"/>
      <c r="AX128" s="80"/>
      <c r="AY128" s="80"/>
      <c r="AZ128" s="80"/>
      <c r="BA128" s="80"/>
      <c r="BB128" s="80"/>
      <c r="BC128">
        <v>6</v>
      </c>
      <c r="BD128" s="79" t="str">
        <f>REPLACE(INDEX(GroupVertices[Group],MATCH(Edges25[[#This Row],[Vertex 1]],GroupVertices[Vertex],0)),1,1,"")</f>
        <v>1</v>
      </c>
      <c r="BE128" s="79" t="str">
        <f>REPLACE(INDEX(GroupVertices[Group],MATCH(Edges25[[#This Row],[Vertex 2]],GroupVertices[Vertex],0)),1,1,"")</f>
        <v>1</v>
      </c>
      <c r="BF128" s="49"/>
      <c r="BG128" s="50"/>
      <c r="BH128" s="49"/>
      <c r="BI128" s="50"/>
      <c r="BJ128" s="49"/>
      <c r="BK128" s="50"/>
      <c r="BL128" s="49"/>
      <c r="BM128" s="50"/>
      <c r="BN128" s="49"/>
    </row>
    <row r="129" spans="1:66" ht="15">
      <c r="A129" s="65" t="s">
        <v>333</v>
      </c>
      <c r="B129" s="65" t="s">
        <v>332</v>
      </c>
      <c r="C129" s="66"/>
      <c r="D129" s="67"/>
      <c r="E129" s="66"/>
      <c r="F129" s="69"/>
      <c r="G129" s="66"/>
      <c r="H129" s="70"/>
      <c r="I129" s="71"/>
      <c r="J129" s="71"/>
      <c r="K129" s="35" t="s">
        <v>65</v>
      </c>
      <c r="L129" s="72">
        <v>267</v>
      </c>
      <c r="M129" s="72"/>
      <c r="N129" s="73"/>
      <c r="O129" s="80" t="s">
        <v>406</v>
      </c>
      <c r="P129" s="82">
        <v>44479.33621527778</v>
      </c>
      <c r="Q129" s="80" t="s">
        <v>479</v>
      </c>
      <c r="R129" s="85" t="str">
        <f>HYPERLINK("https://econ.trib.al/fJkeRl8")</f>
        <v>https://econ.trib.al/fJkeRl8</v>
      </c>
      <c r="S129" s="80" t="s">
        <v>528</v>
      </c>
      <c r="T129" s="80"/>
      <c r="U129" s="80"/>
      <c r="V129" s="85" t="str">
        <f>HYPERLINK("https://pbs.twimg.com/profile_images/1354343790060969990/Fqw5w_P0_normal.jpg")</f>
        <v>https://pbs.twimg.com/profile_images/1354343790060969990/Fqw5w_P0_normal.jpg</v>
      </c>
      <c r="W129" s="82">
        <v>44479.33621527778</v>
      </c>
      <c r="X129" s="87">
        <v>44479</v>
      </c>
      <c r="Y129" s="83" t="s">
        <v>691</v>
      </c>
      <c r="Z129" s="85" t="str">
        <f>HYPERLINK("https://twitter.com/jfrusci/status/1447110690217598979")</f>
        <v>https://twitter.com/jfrusci/status/1447110690217598979</v>
      </c>
      <c r="AA129" s="80"/>
      <c r="AB129" s="80"/>
      <c r="AC129" s="83" t="s">
        <v>876</v>
      </c>
      <c r="AD129" s="80"/>
      <c r="AE129" s="80" t="b">
        <v>0</v>
      </c>
      <c r="AF129" s="80">
        <v>0</v>
      </c>
      <c r="AG129" s="83" t="s">
        <v>952</v>
      </c>
      <c r="AH129" s="80" t="b">
        <v>0</v>
      </c>
      <c r="AI129" s="80" t="s">
        <v>967</v>
      </c>
      <c r="AJ129" s="80"/>
      <c r="AK129" s="83" t="s">
        <v>952</v>
      </c>
      <c r="AL129" s="80" t="b">
        <v>0</v>
      </c>
      <c r="AM129" s="80">
        <v>1</v>
      </c>
      <c r="AN129" s="83" t="s">
        <v>952</v>
      </c>
      <c r="AO129" s="83" t="s">
        <v>991</v>
      </c>
      <c r="AP129" s="80" t="b">
        <v>0</v>
      </c>
      <c r="AQ129" s="83" t="s">
        <v>876</v>
      </c>
      <c r="AR129" s="80" t="s">
        <v>196</v>
      </c>
      <c r="AS129" s="80">
        <v>0</v>
      </c>
      <c r="AT129" s="80">
        <v>0</v>
      </c>
      <c r="AU129" s="80"/>
      <c r="AV129" s="80"/>
      <c r="AW129" s="80"/>
      <c r="AX129" s="80"/>
      <c r="AY129" s="80"/>
      <c r="AZ129" s="80"/>
      <c r="BA129" s="80"/>
      <c r="BB129" s="80"/>
      <c r="BC129">
        <v>6</v>
      </c>
      <c r="BD129" s="79" t="str">
        <f>REPLACE(INDEX(GroupVertices[Group],MATCH(Edges25[[#This Row],[Vertex 1]],GroupVertices[Vertex],0)),1,1,"")</f>
        <v>1</v>
      </c>
      <c r="BE129" s="79" t="str">
        <f>REPLACE(INDEX(GroupVertices[Group],MATCH(Edges25[[#This Row],[Vertex 2]],GroupVertices[Vertex],0)),1,1,"")</f>
        <v>1</v>
      </c>
      <c r="BF129" s="49"/>
      <c r="BG129" s="50"/>
      <c r="BH129" s="49"/>
      <c r="BI129" s="50"/>
      <c r="BJ129" s="49"/>
      <c r="BK129" s="50"/>
      <c r="BL129" s="49"/>
      <c r="BM129" s="50"/>
      <c r="BN129" s="49"/>
    </row>
    <row r="130" spans="1:66" ht="15">
      <c r="A130" s="65" t="s">
        <v>333</v>
      </c>
      <c r="B130" s="65" t="s">
        <v>332</v>
      </c>
      <c r="C130" s="66"/>
      <c r="D130" s="67"/>
      <c r="E130" s="66"/>
      <c r="F130" s="69"/>
      <c r="G130" s="66"/>
      <c r="H130" s="70"/>
      <c r="I130" s="71"/>
      <c r="J130" s="71"/>
      <c r="K130" s="35" t="s">
        <v>65</v>
      </c>
      <c r="L130" s="72">
        <v>268</v>
      </c>
      <c r="M130" s="72"/>
      <c r="N130" s="73"/>
      <c r="O130" s="80" t="s">
        <v>406</v>
      </c>
      <c r="P130" s="82">
        <v>44480.337118055555</v>
      </c>
      <c r="Q130" s="80" t="s">
        <v>480</v>
      </c>
      <c r="R130" s="85" t="str">
        <f>HYPERLINK("https://econ.trib.al/6yo11AH")</f>
        <v>https://econ.trib.al/6yo11AH</v>
      </c>
      <c r="S130" s="80" t="s">
        <v>528</v>
      </c>
      <c r="T130" s="80"/>
      <c r="U130" s="80"/>
      <c r="V130" s="85" t="str">
        <f>HYPERLINK("https://pbs.twimg.com/profile_images/1354343790060969990/Fqw5w_P0_normal.jpg")</f>
        <v>https://pbs.twimg.com/profile_images/1354343790060969990/Fqw5w_P0_normal.jpg</v>
      </c>
      <c r="W130" s="82">
        <v>44480.337118055555</v>
      </c>
      <c r="X130" s="87">
        <v>44480</v>
      </c>
      <c r="Y130" s="83" t="s">
        <v>692</v>
      </c>
      <c r="Z130" s="85" t="str">
        <f>HYPERLINK("https://twitter.com/jfrusci/status/1447473406325239809")</f>
        <v>https://twitter.com/jfrusci/status/1447473406325239809</v>
      </c>
      <c r="AA130" s="80"/>
      <c r="AB130" s="80"/>
      <c r="AC130" s="83" t="s">
        <v>877</v>
      </c>
      <c r="AD130" s="80"/>
      <c r="AE130" s="80" t="b">
        <v>0</v>
      </c>
      <c r="AF130" s="80">
        <v>0</v>
      </c>
      <c r="AG130" s="83" t="s">
        <v>952</v>
      </c>
      <c r="AH130" s="80" t="b">
        <v>0</v>
      </c>
      <c r="AI130" s="80" t="s">
        <v>967</v>
      </c>
      <c r="AJ130" s="80"/>
      <c r="AK130" s="83" t="s">
        <v>952</v>
      </c>
      <c r="AL130" s="80" t="b">
        <v>0</v>
      </c>
      <c r="AM130" s="80">
        <v>1</v>
      </c>
      <c r="AN130" s="83" t="s">
        <v>952</v>
      </c>
      <c r="AO130" s="83" t="s">
        <v>991</v>
      </c>
      <c r="AP130" s="80" t="b">
        <v>0</v>
      </c>
      <c r="AQ130" s="83" t="s">
        <v>877</v>
      </c>
      <c r="AR130" s="80" t="s">
        <v>196</v>
      </c>
      <c r="AS130" s="80">
        <v>0</v>
      </c>
      <c r="AT130" s="80">
        <v>0</v>
      </c>
      <c r="AU130" s="80"/>
      <c r="AV130" s="80"/>
      <c r="AW130" s="80"/>
      <c r="AX130" s="80"/>
      <c r="AY130" s="80"/>
      <c r="AZ130" s="80"/>
      <c r="BA130" s="80"/>
      <c r="BB130" s="80"/>
      <c r="BC130">
        <v>6</v>
      </c>
      <c r="BD130" s="79" t="str">
        <f>REPLACE(INDEX(GroupVertices[Group],MATCH(Edges25[[#This Row],[Vertex 1]],GroupVertices[Vertex],0)),1,1,"")</f>
        <v>1</v>
      </c>
      <c r="BE130" s="79" t="str">
        <f>REPLACE(INDEX(GroupVertices[Group],MATCH(Edges25[[#This Row],[Vertex 2]],GroupVertices[Vertex],0)),1,1,"")</f>
        <v>1</v>
      </c>
      <c r="BF130" s="49"/>
      <c r="BG130" s="50"/>
      <c r="BH130" s="49"/>
      <c r="BI130" s="50"/>
      <c r="BJ130" s="49"/>
      <c r="BK130" s="50"/>
      <c r="BL130" s="49"/>
      <c r="BM130" s="50"/>
      <c r="BN130" s="49"/>
    </row>
    <row r="131" spans="1:66" ht="15">
      <c r="A131" s="65" t="s">
        <v>334</v>
      </c>
      <c r="B131" s="65" t="s">
        <v>332</v>
      </c>
      <c r="C131" s="66"/>
      <c r="D131" s="67"/>
      <c r="E131" s="66"/>
      <c r="F131" s="69"/>
      <c r="G131" s="66"/>
      <c r="H131" s="70"/>
      <c r="I131" s="71"/>
      <c r="J131" s="71"/>
      <c r="K131" s="35" t="s">
        <v>65</v>
      </c>
      <c r="L131" s="72">
        <v>269</v>
      </c>
      <c r="M131" s="72"/>
      <c r="N131" s="73"/>
      <c r="O131" s="80" t="s">
        <v>408</v>
      </c>
      <c r="P131" s="82">
        <v>44476.35335648148</v>
      </c>
      <c r="Q131" s="80" t="s">
        <v>431</v>
      </c>
      <c r="R131" s="85" t="str">
        <f>HYPERLINK("https://econ.trib.al/NL8KzOD")</f>
        <v>https://econ.trib.al/NL8KzOD</v>
      </c>
      <c r="S131" s="80" t="s">
        <v>528</v>
      </c>
      <c r="T131" s="80"/>
      <c r="U131" s="80"/>
      <c r="V131" s="85" t="str">
        <f>HYPERLINK("https://pbs.twimg.com/profile_images/1191749200121348096/BmfItDOa_normal.jpg")</f>
        <v>https://pbs.twimg.com/profile_images/1191749200121348096/BmfItDOa_normal.jpg</v>
      </c>
      <c r="W131" s="82">
        <v>44476.35335648148</v>
      </c>
      <c r="X131" s="87">
        <v>44476</v>
      </c>
      <c r="Y131" s="83" t="s">
        <v>693</v>
      </c>
      <c r="Z131" s="85" t="str">
        <f>HYPERLINK("https://twitter.com/oikos_solutions/status/1446029739601367041")</f>
        <v>https://twitter.com/oikos_solutions/status/1446029739601367041</v>
      </c>
      <c r="AA131" s="80"/>
      <c r="AB131" s="80"/>
      <c r="AC131" s="83" t="s">
        <v>878</v>
      </c>
      <c r="AD131" s="80"/>
      <c r="AE131" s="80" t="b">
        <v>0</v>
      </c>
      <c r="AF131" s="80">
        <v>0</v>
      </c>
      <c r="AG131" s="83" t="s">
        <v>952</v>
      </c>
      <c r="AH131" s="80" t="b">
        <v>0</v>
      </c>
      <c r="AI131" s="80" t="s">
        <v>967</v>
      </c>
      <c r="AJ131" s="80"/>
      <c r="AK131" s="83" t="s">
        <v>952</v>
      </c>
      <c r="AL131" s="80" t="b">
        <v>0</v>
      </c>
      <c r="AM131" s="80">
        <v>2</v>
      </c>
      <c r="AN131" s="83" t="s">
        <v>867</v>
      </c>
      <c r="AO131" s="83" t="s">
        <v>992</v>
      </c>
      <c r="AP131" s="80" t="b">
        <v>0</v>
      </c>
      <c r="AQ131" s="83" t="s">
        <v>867</v>
      </c>
      <c r="AR131" s="80" t="s">
        <v>196</v>
      </c>
      <c r="AS131" s="80">
        <v>0</v>
      </c>
      <c r="AT131" s="80">
        <v>0</v>
      </c>
      <c r="AU131" s="80"/>
      <c r="AV131" s="80"/>
      <c r="AW131" s="80"/>
      <c r="AX131" s="80"/>
      <c r="AY131" s="80"/>
      <c r="AZ131" s="80"/>
      <c r="BA131" s="80"/>
      <c r="BB131" s="80"/>
      <c r="BC131">
        <v>3</v>
      </c>
      <c r="BD131" s="79" t="str">
        <f>REPLACE(INDEX(GroupVertices[Group],MATCH(Edges25[[#This Row],[Vertex 1]],GroupVertices[Vertex],0)),1,1,"")</f>
        <v>1</v>
      </c>
      <c r="BE131" s="79" t="str">
        <f>REPLACE(INDEX(GroupVertices[Group],MATCH(Edges25[[#This Row],[Vertex 2]],GroupVertices[Vertex],0)),1,1,"")</f>
        <v>1</v>
      </c>
      <c r="BF131" s="49"/>
      <c r="BG131" s="50"/>
      <c r="BH131" s="49"/>
      <c r="BI131" s="50"/>
      <c r="BJ131" s="49"/>
      <c r="BK131" s="50"/>
      <c r="BL131" s="49"/>
      <c r="BM131" s="50"/>
      <c r="BN131" s="49"/>
    </row>
    <row r="132" spans="1:66" ht="15">
      <c r="A132" s="65" t="s">
        <v>334</v>
      </c>
      <c r="B132" s="65" t="s">
        <v>332</v>
      </c>
      <c r="C132" s="66"/>
      <c r="D132" s="67"/>
      <c r="E132" s="66"/>
      <c r="F132" s="69"/>
      <c r="G132" s="66"/>
      <c r="H132" s="70"/>
      <c r="I132" s="71"/>
      <c r="J132" s="71"/>
      <c r="K132" s="35" t="s">
        <v>65</v>
      </c>
      <c r="L132" s="72">
        <v>270</v>
      </c>
      <c r="M132" s="72"/>
      <c r="N132" s="73"/>
      <c r="O132" s="80" t="s">
        <v>408</v>
      </c>
      <c r="P132" s="82">
        <v>44477.35403935185</v>
      </c>
      <c r="Q132" s="80" t="s">
        <v>470</v>
      </c>
      <c r="R132" s="85" t="str">
        <f>HYPERLINK("https://econ.trib.al/AoNqILv")</f>
        <v>https://econ.trib.al/AoNqILv</v>
      </c>
      <c r="S132" s="80" t="s">
        <v>528</v>
      </c>
      <c r="T132" s="80"/>
      <c r="U132" s="80"/>
      <c r="V132" s="85" t="str">
        <f>HYPERLINK("https://pbs.twimg.com/profile_images/1191749200121348096/BmfItDOa_normal.jpg")</f>
        <v>https://pbs.twimg.com/profile_images/1191749200121348096/BmfItDOa_normal.jpg</v>
      </c>
      <c r="W132" s="82">
        <v>44477.35403935185</v>
      </c>
      <c r="X132" s="87">
        <v>44477</v>
      </c>
      <c r="Y132" s="83" t="s">
        <v>694</v>
      </c>
      <c r="Z132" s="85" t="str">
        <f>HYPERLINK("https://twitter.com/oikos_solutions/status/1446392374733725702")</f>
        <v>https://twitter.com/oikos_solutions/status/1446392374733725702</v>
      </c>
      <c r="AA132" s="80"/>
      <c r="AB132" s="80"/>
      <c r="AC132" s="83" t="s">
        <v>879</v>
      </c>
      <c r="AD132" s="80"/>
      <c r="AE132" s="80" t="b">
        <v>0</v>
      </c>
      <c r="AF132" s="80">
        <v>0</v>
      </c>
      <c r="AG132" s="83" t="s">
        <v>952</v>
      </c>
      <c r="AH132" s="80" t="b">
        <v>0</v>
      </c>
      <c r="AI132" s="80" t="s">
        <v>967</v>
      </c>
      <c r="AJ132" s="80"/>
      <c r="AK132" s="83" t="s">
        <v>952</v>
      </c>
      <c r="AL132" s="80" t="b">
        <v>0</v>
      </c>
      <c r="AM132" s="80">
        <v>2</v>
      </c>
      <c r="AN132" s="83" t="s">
        <v>868</v>
      </c>
      <c r="AO132" s="83" t="s">
        <v>992</v>
      </c>
      <c r="AP132" s="80" t="b">
        <v>0</v>
      </c>
      <c r="AQ132" s="83" t="s">
        <v>868</v>
      </c>
      <c r="AR132" s="80" t="s">
        <v>196</v>
      </c>
      <c r="AS132" s="80">
        <v>0</v>
      </c>
      <c r="AT132" s="80">
        <v>0</v>
      </c>
      <c r="AU132" s="80"/>
      <c r="AV132" s="80"/>
      <c r="AW132" s="80"/>
      <c r="AX132" s="80"/>
      <c r="AY132" s="80"/>
      <c r="AZ132" s="80"/>
      <c r="BA132" s="80"/>
      <c r="BB132" s="80"/>
      <c r="BC132">
        <v>3</v>
      </c>
      <c r="BD132" s="79" t="str">
        <f>REPLACE(INDEX(GroupVertices[Group],MATCH(Edges25[[#This Row],[Vertex 1]],GroupVertices[Vertex],0)),1,1,"")</f>
        <v>1</v>
      </c>
      <c r="BE132" s="79" t="str">
        <f>REPLACE(INDEX(GroupVertices[Group],MATCH(Edges25[[#This Row],[Vertex 2]],GroupVertices[Vertex],0)),1,1,"")</f>
        <v>1</v>
      </c>
      <c r="BF132" s="49"/>
      <c r="BG132" s="50"/>
      <c r="BH132" s="49"/>
      <c r="BI132" s="50"/>
      <c r="BJ132" s="49"/>
      <c r="BK132" s="50"/>
      <c r="BL132" s="49"/>
      <c r="BM132" s="50"/>
      <c r="BN132" s="49"/>
    </row>
    <row r="133" spans="1:66" ht="15">
      <c r="A133" s="65" t="s">
        <v>334</v>
      </c>
      <c r="B133" s="65" t="s">
        <v>332</v>
      </c>
      <c r="C133" s="66"/>
      <c r="D133" s="67"/>
      <c r="E133" s="66"/>
      <c r="F133" s="69"/>
      <c r="G133" s="66"/>
      <c r="H133" s="70"/>
      <c r="I133" s="71"/>
      <c r="J133" s="71"/>
      <c r="K133" s="35" t="s">
        <v>65</v>
      </c>
      <c r="L133" s="72">
        <v>271</v>
      </c>
      <c r="M133" s="72"/>
      <c r="N133" s="73"/>
      <c r="O133" s="80" t="s">
        <v>407</v>
      </c>
      <c r="P133" s="82">
        <v>44477.35425925926</v>
      </c>
      <c r="Q133" s="80" t="s">
        <v>477</v>
      </c>
      <c r="R133" s="85" t="str">
        <f>HYPERLINK("https://econ.trib.al/AoNqILv")</f>
        <v>https://econ.trib.al/AoNqILv</v>
      </c>
      <c r="S133" s="80" t="s">
        <v>528</v>
      </c>
      <c r="T133" s="80"/>
      <c r="U133" s="80"/>
      <c r="V133" s="85" t="str">
        <f>HYPERLINK("https://pbs.twimg.com/profile_images/1191749200121348096/BmfItDOa_normal.jpg")</f>
        <v>https://pbs.twimg.com/profile_images/1191749200121348096/BmfItDOa_normal.jpg</v>
      </c>
      <c r="W133" s="82">
        <v>44477.35425925926</v>
      </c>
      <c r="X133" s="87">
        <v>44477</v>
      </c>
      <c r="Y133" s="83" t="s">
        <v>695</v>
      </c>
      <c r="Z133" s="85" t="str">
        <f>HYPERLINK("https://twitter.com/oikos_solutions/status/1446392454148677642")</f>
        <v>https://twitter.com/oikos_solutions/status/1446392454148677642</v>
      </c>
      <c r="AA133" s="80"/>
      <c r="AB133" s="80"/>
      <c r="AC133" s="83" t="s">
        <v>880</v>
      </c>
      <c r="AD133" s="80"/>
      <c r="AE133" s="80" t="b">
        <v>0</v>
      </c>
      <c r="AF133" s="80">
        <v>0</v>
      </c>
      <c r="AG133" s="83" t="s">
        <v>952</v>
      </c>
      <c r="AH133" s="80" t="b">
        <v>0</v>
      </c>
      <c r="AI133" s="80" t="s">
        <v>967</v>
      </c>
      <c r="AJ133" s="80"/>
      <c r="AK133" s="83" t="s">
        <v>952</v>
      </c>
      <c r="AL133" s="80" t="b">
        <v>0</v>
      </c>
      <c r="AM133" s="80">
        <v>1</v>
      </c>
      <c r="AN133" s="83" t="s">
        <v>874</v>
      </c>
      <c r="AO133" s="83" t="s">
        <v>992</v>
      </c>
      <c r="AP133" s="80" t="b">
        <v>0</v>
      </c>
      <c r="AQ133" s="83" t="s">
        <v>874</v>
      </c>
      <c r="AR133" s="80" t="s">
        <v>196</v>
      </c>
      <c r="AS133" s="80">
        <v>0</v>
      </c>
      <c r="AT133" s="80">
        <v>0</v>
      </c>
      <c r="AU133" s="80"/>
      <c r="AV133" s="80"/>
      <c r="AW133" s="80"/>
      <c r="AX133" s="80"/>
      <c r="AY133" s="80"/>
      <c r="AZ133" s="80"/>
      <c r="BA133" s="80"/>
      <c r="BB133" s="80"/>
      <c r="BC133">
        <v>3</v>
      </c>
      <c r="BD133" s="79" t="str">
        <f>REPLACE(INDEX(GroupVertices[Group],MATCH(Edges25[[#This Row],[Vertex 1]],GroupVertices[Vertex],0)),1,1,"")</f>
        <v>1</v>
      </c>
      <c r="BE133" s="79" t="str">
        <f>REPLACE(INDEX(GroupVertices[Group],MATCH(Edges25[[#This Row],[Vertex 2]],GroupVertices[Vertex],0)),1,1,"")</f>
        <v>1</v>
      </c>
      <c r="BF133" s="49"/>
      <c r="BG133" s="50"/>
      <c r="BH133" s="49"/>
      <c r="BI133" s="50"/>
      <c r="BJ133" s="49"/>
      <c r="BK133" s="50"/>
      <c r="BL133" s="49"/>
      <c r="BM133" s="50"/>
      <c r="BN133" s="49"/>
    </row>
    <row r="134" spans="1:66" ht="15">
      <c r="A134" s="65" t="s">
        <v>334</v>
      </c>
      <c r="B134" s="65" t="s">
        <v>332</v>
      </c>
      <c r="C134" s="66"/>
      <c r="D134" s="67"/>
      <c r="E134" s="66"/>
      <c r="F134" s="69"/>
      <c r="G134" s="66"/>
      <c r="H134" s="70"/>
      <c r="I134" s="71"/>
      <c r="J134" s="71"/>
      <c r="K134" s="35" t="s">
        <v>65</v>
      </c>
      <c r="L134" s="72">
        <v>272</v>
      </c>
      <c r="M134" s="72"/>
      <c r="N134" s="73"/>
      <c r="O134" s="80" t="s">
        <v>408</v>
      </c>
      <c r="P134" s="82">
        <v>44479.353738425925</v>
      </c>
      <c r="Q134" s="80" t="s">
        <v>473</v>
      </c>
      <c r="R134" s="85" t="str">
        <f>HYPERLINK("https://econ.trib.al/fJkeRl8")</f>
        <v>https://econ.trib.al/fJkeRl8</v>
      </c>
      <c r="S134" s="80" t="s">
        <v>528</v>
      </c>
      <c r="T134" s="80"/>
      <c r="U134" s="80"/>
      <c r="V134" s="85" t="str">
        <f>HYPERLINK("https://pbs.twimg.com/profile_images/1191749200121348096/BmfItDOa_normal.jpg")</f>
        <v>https://pbs.twimg.com/profile_images/1191749200121348096/BmfItDOa_normal.jpg</v>
      </c>
      <c r="W134" s="82">
        <v>44479.353738425925</v>
      </c>
      <c r="X134" s="87">
        <v>44479</v>
      </c>
      <c r="Y134" s="83" t="s">
        <v>696</v>
      </c>
      <c r="Z134" s="85" t="str">
        <f>HYPERLINK("https://twitter.com/oikos_solutions/status/1447117042851749890")</f>
        <v>https://twitter.com/oikos_solutions/status/1447117042851749890</v>
      </c>
      <c r="AA134" s="80"/>
      <c r="AB134" s="80"/>
      <c r="AC134" s="83" t="s">
        <v>881</v>
      </c>
      <c r="AD134" s="80"/>
      <c r="AE134" s="80" t="b">
        <v>0</v>
      </c>
      <c r="AF134" s="80">
        <v>0</v>
      </c>
      <c r="AG134" s="83" t="s">
        <v>952</v>
      </c>
      <c r="AH134" s="80" t="b">
        <v>0</v>
      </c>
      <c r="AI134" s="80" t="s">
        <v>967</v>
      </c>
      <c r="AJ134" s="80"/>
      <c r="AK134" s="83" t="s">
        <v>952</v>
      </c>
      <c r="AL134" s="80" t="b">
        <v>0</v>
      </c>
      <c r="AM134" s="80">
        <v>1</v>
      </c>
      <c r="AN134" s="83" t="s">
        <v>870</v>
      </c>
      <c r="AO134" s="83" t="s">
        <v>992</v>
      </c>
      <c r="AP134" s="80" t="b">
        <v>0</v>
      </c>
      <c r="AQ134" s="83" t="s">
        <v>870</v>
      </c>
      <c r="AR134" s="80" t="s">
        <v>196</v>
      </c>
      <c r="AS134" s="80">
        <v>0</v>
      </c>
      <c r="AT134" s="80">
        <v>0</v>
      </c>
      <c r="AU134" s="80"/>
      <c r="AV134" s="80"/>
      <c r="AW134" s="80"/>
      <c r="AX134" s="80"/>
      <c r="AY134" s="80"/>
      <c r="AZ134" s="80"/>
      <c r="BA134" s="80"/>
      <c r="BB134" s="80"/>
      <c r="BC134">
        <v>3</v>
      </c>
      <c r="BD134" s="79" t="str">
        <f>REPLACE(INDEX(GroupVertices[Group],MATCH(Edges25[[#This Row],[Vertex 1]],GroupVertices[Vertex],0)),1,1,"")</f>
        <v>1</v>
      </c>
      <c r="BE134" s="79" t="str">
        <f>REPLACE(INDEX(GroupVertices[Group],MATCH(Edges25[[#This Row],[Vertex 2]],GroupVertices[Vertex],0)),1,1,"")</f>
        <v>1</v>
      </c>
      <c r="BF134" s="49"/>
      <c r="BG134" s="50"/>
      <c r="BH134" s="49"/>
      <c r="BI134" s="50"/>
      <c r="BJ134" s="49"/>
      <c r="BK134" s="50"/>
      <c r="BL134" s="49"/>
      <c r="BM134" s="50"/>
      <c r="BN134" s="49"/>
    </row>
    <row r="135" spans="1:66" ht="15">
      <c r="A135" s="65" t="s">
        <v>334</v>
      </c>
      <c r="B135" s="65" t="s">
        <v>332</v>
      </c>
      <c r="C135" s="66"/>
      <c r="D135" s="67"/>
      <c r="E135" s="66"/>
      <c r="F135" s="69"/>
      <c r="G135" s="66"/>
      <c r="H135" s="70"/>
      <c r="I135" s="71"/>
      <c r="J135" s="71"/>
      <c r="K135" s="35" t="s">
        <v>65</v>
      </c>
      <c r="L135" s="72">
        <v>273</v>
      </c>
      <c r="M135" s="72"/>
      <c r="N135" s="73"/>
      <c r="O135" s="80" t="s">
        <v>407</v>
      </c>
      <c r="P135" s="82">
        <v>44479.35407407407</v>
      </c>
      <c r="Q135" s="80" t="s">
        <v>479</v>
      </c>
      <c r="R135" s="85" t="str">
        <f>HYPERLINK("https://econ.trib.al/fJkeRl8")</f>
        <v>https://econ.trib.al/fJkeRl8</v>
      </c>
      <c r="S135" s="80" t="s">
        <v>528</v>
      </c>
      <c r="T135" s="80"/>
      <c r="U135" s="80"/>
      <c r="V135" s="85" t="str">
        <f>HYPERLINK("https://pbs.twimg.com/profile_images/1191749200121348096/BmfItDOa_normal.jpg")</f>
        <v>https://pbs.twimg.com/profile_images/1191749200121348096/BmfItDOa_normal.jpg</v>
      </c>
      <c r="W135" s="82">
        <v>44479.35407407407</v>
      </c>
      <c r="X135" s="87">
        <v>44479</v>
      </c>
      <c r="Y135" s="83" t="s">
        <v>697</v>
      </c>
      <c r="Z135" s="85" t="str">
        <f>HYPERLINK("https://twitter.com/oikos_solutions/status/1447117163072999424")</f>
        <v>https://twitter.com/oikos_solutions/status/1447117163072999424</v>
      </c>
      <c r="AA135" s="80"/>
      <c r="AB135" s="80"/>
      <c r="AC135" s="83" t="s">
        <v>882</v>
      </c>
      <c r="AD135" s="80"/>
      <c r="AE135" s="80" t="b">
        <v>0</v>
      </c>
      <c r="AF135" s="80">
        <v>0</v>
      </c>
      <c r="AG135" s="83" t="s">
        <v>952</v>
      </c>
      <c r="AH135" s="80" t="b">
        <v>0</v>
      </c>
      <c r="AI135" s="80" t="s">
        <v>967</v>
      </c>
      <c r="AJ135" s="80"/>
      <c r="AK135" s="83" t="s">
        <v>952</v>
      </c>
      <c r="AL135" s="80" t="b">
        <v>0</v>
      </c>
      <c r="AM135" s="80">
        <v>1</v>
      </c>
      <c r="AN135" s="83" t="s">
        <v>876</v>
      </c>
      <c r="AO135" s="83" t="s">
        <v>992</v>
      </c>
      <c r="AP135" s="80" t="b">
        <v>0</v>
      </c>
      <c r="AQ135" s="83" t="s">
        <v>876</v>
      </c>
      <c r="AR135" s="80" t="s">
        <v>196</v>
      </c>
      <c r="AS135" s="80">
        <v>0</v>
      </c>
      <c r="AT135" s="80">
        <v>0</v>
      </c>
      <c r="AU135" s="80"/>
      <c r="AV135" s="80"/>
      <c r="AW135" s="80"/>
      <c r="AX135" s="80"/>
      <c r="AY135" s="80"/>
      <c r="AZ135" s="80"/>
      <c r="BA135" s="80"/>
      <c r="BB135" s="80"/>
      <c r="BC135">
        <v>3</v>
      </c>
      <c r="BD135" s="79" t="str">
        <f>REPLACE(INDEX(GroupVertices[Group],MATCH(Edges25[[#This Row],[Vertex 1]],GroupVertices[Vertex],0)),1,1,"")</f>
        <v>1</v>
      </c>
      <c r="BE135" s="79" t="str">
        <f>REPLACE(INDEX(GroupVertices[Group],MATCH(Edges25[[#This Row],[Vertex 2]],GroupVertices[Vertex],0)),1,1,"")</f>
        <v>1</v>
      </c>
      <c r="BF135" s="49"/>
      <c r="BG135" s="50"/>
      <c r="BH135" s="49"/>
      <c r="BI135" s="50"/>
      <c r="BJ135" s="49"/>
      <c r="BK135" s="50"/>
      <c r="BL135" s="49"/>
      <c r="BM135" s="50"/>
      <c r="BN135" s="49"/>
    </row>
    <row r="136" spans="1:66" ht="15">
      <c r="A136" s="65" t="s">
        <v>334</v>
      </c>
      <c r="B136" s="65" t="s">
        <v>332</v>
      </c>
      <c r="C136" s="66"/>
      <c r="D136" s="67"/>
      <c r="E136" s="66"/>
      <c r="F136" s="69"/>
      <c r="G136" s="66"/>
      <c r="H136" s="70"/>
      <c r="I136" s="71"/>
      <c r="J136" s="71"/>
      <c r="K136" s="35" t="s">
        <v>65</v>
      </c>
      <c r="L136" s="72">
        <v>274</v>
      </c>
      <c r="M136" s="72"/>
      <c r="N136" s="73"/>
      <c r="O136" s="80" t="s">
        <v>407</v>
      </c>
      <c r="P136" s="82">
        <v>44480.35335648148</v>
      </c>
      <c r="Q136" s="80" t="s">
        <v>480</v>
      </c>
      <c r="R136" s="85" t="str">
        <f>HYPERLINK("https://econ.trib.al/6yo11AH")</f>
        <v>https://econ.trib.al/6yo11AH</v>
      </c>
      <c r="S136" s="80" t="s">
        <v>528</v>
      </c>
      <c r="T136" s="80"/>
      <c r="U136" s="80"/>
      <c r="V136" s="85" t="str">
        <f>HYPERLINK("https://pbs.twimg.com/profile_images/1191749200121348096/BmfItDOa_normal.jpg")</f>
        <v>https://pbs.twimg.com/profile_images/1191749200121348096/BmfItDOa_normal.jpg</v>
      </c>
      <c r="W136" s="82">
        <v>44480.35335648148</v>
      </c>
      <c r="X136" s="87">
        <v>44480</v>
      </c>
      <c r="Y136" s="83" t="s">
        <v>693</v>
      </c>
      <c r="Z136" s="85" t="str">
        <f>HYPERLINK("https://twitter.com/oikos_solutions/status/1447479289088253952")</f>
        <v>https://twitter.com/oikos_solutions/status/1447479289088253952</v>
      </c>
      <c r="AA136" s="80"/>
      <c r="AB136" s="80"/>
      <c r="AC136" s="83" t="s">
        <v>883</v>
      </c>
      <c r="AD136" s="80"/>
      <c r="AE136" s="80" t="b">
        <v>0</v>
      </c>
      <c r="AF136" s="80">
        <v>0</v>
      </c>
      <c r="AG136" s="83" t="s">
        <v>952</v>
      </c>
      <c r="AH136" s="80" t="b">
        <v>0</v>
      </c>
      <c r="AI136" s="80" t="s">
        <v>967</v>
      </c>
      <c r="AJ136" s="80"/>
      <c r="AK136" s="83" t="s">
        <v>952</v>
      </c>
      <c r="AL136" s="80" t="b">
        <v>0</v>
      </c>
      <c r="AM136" s="80">
        <v>1</v>
      </c>
      <c r="AN136" s="83" t="s">
        <v>877</v>
      </c>
      <c r="AO136" s="83" t="s">
        <v>992</v>
      </c>
      <c r="AP136" s="80" t="b">
        <v>0</v>
      </c>
      <c r="AQ136" s="83" t="s">
        <v>877</v>
      </c>
      <c r="AR136" s="80" t="s">
        <v>196</v>
      </c>
      <c r="AS136" s="80">
        <v>0</v>
      </c>
      <c r="AT136" s="80">
        <v>0</v>
      </c>
      <c r="AU136" s="80"/>
      <c r="AV136" s="80"/>
      <c r="AW136" s="80"/>
      <c r="AX136" s="80"/>
      <c r="AY136" s="80"/>
      <c r="AZ136" s="80"/>
      <c r="BA136" s="80"/>
      <c r="BB136" s="80"/>
      <c r="BC136">
        <v>3</v>
      </c>
      <c r="BD136" s="79" t="str">
        <f>REPLACE(INDEX(GroupVertices[Group],MATCH(Edges25[[#This Row],[Vertex 1]],GroupVertices[Vertex],0)),1,1,"")</f>
        <v>1</v>
      </c>
      <c r="BE136" s="79" t="str">
        <f>REPLACE(INDEX(GroupVertices[Group],MATCH(Edges25[[#This Row],[Vertex 2]],GroupVertices[Vertex],0)),1,1,"")</f>
        <v>1</v>
      </c>
      <c r="BF136" s="49"/>
      <c r="BG136" s="50"/>
      <c r="BH136" s="49"/>
      <c r="BI136" s="50"/>
      <c r="BJ136" s="49"/>
      <c r="BK136" s="50"/>
      <c r="BL136" s="49"/>
      <c r="BM136" s="50"/>
      <c r="BN136" s="49"/>
    </row>
    <row r="137" spans="1:66" ht="15">
      <c r="A137" s="65" t="s">
        <v>334</v>
      </c>
      <c r="B137" s="65" t="s">
        <v>377</v>
      </c>
      <c r="C137" s="66"/>
      <c r="D137" s="67"/>
      <c r="E137" s="66"/>
      <c r="F137" s="69"/>
      <c r="G137" s="66"/>
      <c r="H137" s="70"/>
      <c r="I137" s="71"/>
      <c r="J137" s="71"/>
      <c r="K137" s="35" t="s">
        <v>65</v>
      </c>
      <c r="L137" s="72">
        <v>299</v>
      </c>
      <c r="M137" s="72"/>
      <c r="N137" s="73"/>
      <c r="O137" s="80" t="s">
        <v>407</v>
      </c>
      <c r="P137" s="82">
        <v>44476.98003472222</v>
      </c>
      <c r="Q137" s="80" t="s">
        <v>481</v>
      </c>
      <c r="R137"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37" s="80" t="s">
        <v>535</v>
      </c>
      <c r="T137" s="80"/>
      <c r="U137" s="80"/>
      <c r="V137" s="85" t="str">
        <f>HYPERLINK("https://pbs.twimg.com/profile_images/1191749200121348096/BmfItDOa_normal.jpg")</f>
        <v>https://pbs.twimg.com/profile_images/1191749200121348096/BmfItDOa_normal.jpg</v>
      </c>
      <c r="W137" s="82">
        <v>44476.98003472222</v>
      </c>
      <c r="X137" s="87">
        <v>44476</v>
      </c>
      <c r="Y137" s="83" t="s">
        <v>698</v>
      </c>
      <c r="Z137" s="85" t="str">
        <f>HYPERLINK("https://twitter.com/oikos_solutions/status/1446256838392098821")</f>
        <v>https://twitter.com/oikos_solutions/status/1446256838392098821</v>
      </c>
      <c r="AA137" s="80"/>
      <c r="AB137" s="80"/>
      <c r="AC137" s="83" t="s">
        <v>884</v>
      </c>
      <c r="AD137" s="80"/>
      <c r="AE137" s="80" t="b">
        <v>0</v>
      </c>
      <c r="AF137" s="80">
        <v>0</v>
      </c>
      <c r="AG137" s="83" t="s">
        <v>952</v>
      </c>
      <c r="AH137" s="80" t="b">
        <v>0</v>
      </c>
      <c r="AI137" s="80" t="s">
        <v>967</v>
      </c>
      <c r="AJ137" s="80"/>
      <c r="AK137" s="83" t="s">
        <v>952</v>
      </c>
      <c r="AL137" s="80" t="b">
        <v>0</v>
      </c>
      <c r="AM137" s="80">
        <v>1</v>
      </c>
      <c r="AN137" s="83" t="s">
        <v>898</v>
      </c>
      <c r="AO137" s="83" t="s">
        <v>992</v>
      </c>
      <c r="AP137" s="80" t="b">
        <v>0</v>
      </c>
      <c r="AQ137" s="83" t="s">
        <v>898</v>
      </c>
      <c r="AR137" s="80" t="s">
        <v>196</v>
      </c>
      <c r="AS137" s="80">
        <v>0</v>
      </c>
      <c r="AT137" s="80">
        <v>0</v>
      </c>
      <c r="AU137" s="80"/>
      <c r="AV137" s="80"/>
      <c r="AW137" s="80"/>
      <c r="AX137" s="80"/>
      <c r="AY137" s="80"/>
      <c r="AZ137" s="80"/>
      <c r="BA137" s="80"/>
      <c r="BB137" s="80"/>
      <c r="BC137">
        <v>9</v>
      </c>
      <c r="BD137" s="79" t="str">
        <f>REPLACE(INDEX(GroupVertices[Group],MATCH(Edges25[[#This Row],[Vertex 1]],GroupVertices[Vertex],0)),1,1,"")</f>
        <v>1</v>
      </c>
      <c r="BE137" s="79" t="str">
        <f>REPLACE(INDEX(GroupVertices[Group],MATCH(Edges25[[#This Row],[Vertex 2]],GroupVertices[Vertex],0)),1,1,"")</f>
        <v>1</v>
      </c>
      <c r="BF137" s="49"/>
      <c r="BG137" s="50"/>
      <c r="BH137" s="49"/>
      <c r="BI137" s="50"/>
      <c r="BJ137" s="49"/>
      <c r="BK137" s="50"/>
      <c r="BL137" s="49"/>
      <c r="BM137" s="50"/>
      <c r="BN137" s="49"/>
    </row>
    <row r="138" spans="1:66" ht="15">
      <c r="A138" s="65" t="s">
        <v>334</v>
      </c>
      <c r="B138" s="65" t="s">
        <v>377</v>
      </c>
      <c r="C138" s="66"/>
      <c r="D138" s="67"/>
      <c r="E138" s="66"/>
      <c r="F138" s="69"/>
      <c r="G138" s="66"/>
      <c r="H138" s="70"/>
      <c r="I138" s="71"/>
      <c r="J138" s="71"/>
      <c r="K138" s="35" t="s">
        <v>65</v>
      </c>
      <c r="L138" s="72">
        <v>309</v>
      </c>
      <c r="M138" s="72"/>
      <c r="N138" s="73"/>
      <c r="O138" s="80" t="s">
        <v>407</v>
      </c>
      <c r="P138" s="82">
        <v>44478.18790509259</v>
      </c>
      <c r="Q138" s="80" t="s">
        <v>452</v>
      </c>
      <c r="R138" s="85" t="str">
        <f>HYPERLINK("https://econ.trib.al/B6siniM")</f>
        <v>https://econ.trib.al/B6siniM</v>
      </c>
      <c r="S138" s="80" t="s">
        <v>528</v>
      </c>
      <c r="T138" s="80"/>
      <c r="U138" s="80"/>
      <c r="V138" s="85" t="str">
        <f>HYPERLINK("https://pbs.twimg.com/profile_images/1191749200121348096/BmfItDOa_normal.jpg")</f>
        <v>https://pbs.twimg.com/profile_images/1191749200121348096/BmfItDOa_normal.jpg</v>
      </c>
      <c r="W138" s="82">
        <v>44478.18790509259</v>
      </c>
      <c r="X138" s="87">
        <v>44478</v>
      </c>
      <c r="Y138" s="83" t="s">
        <v>699</v>
      </c>
      <c r="Z138" s="85" t="str">
        <f>HYPERLINK("https://twitter.com/oikos_solutions/status/1446694559455531008")</f>
        <v>https://twitter.com/oikos_solutions/status/1446694559455531008</v>
      </c>
      <c r="AA138" s="80"/>
      <c r="AB138" s="80"/>
      <c r="AC138" s="83" t="s">
        <v>885</v>
      </c>
      <c r="AD138" s="80"/>
      <c r="AE138" s="80" t="b">
        <v>0</v>
      </c>
      <c r="AF138" s="80">
        <v>0</v>
      </c>
      <c r="AG138" s="83" t="s">
        <v>952</v>
      </c>
      <c r="AH138" s="80" t="b">
        <v>0</v>
      </c>
      <c r="AI138" s="80" t="s">
        <v>967</v>
      </c>
      <c r="AJ138" s="80"/>
      <c r="AK138" s="83" t="s">
        <v>952</v>
      </c>
      <c r="AL138" s="80" t="b">
        <v>0</v>
      </c>
      <c r="AM138" s="80">
        <v>12</v>
      </c>
      <c r="AN138" s="83" t="s">
        <v>895</v>
      </c>
      <c r="AO138" s="83" t="s">
        <v>992</v>
      </c>
      <c r="AP138" s="80" t="b">
        <v>0</v>
      </c>
      <c r="AQ138" s="83" t="s">
        <v>895</v>
      </c>
      <c r="AR138" s="80" t="s">
        <v>196</v>
      </c>
      <c r="AS138" s="80">
        <v>0</v>
      </c>
      <c r="AT138" s="80">
        <v>0</v>
      </c>
      <c r="AU138" s="80"/>
      <c r="AV138" s="80"/>
      <c r="AW138" s="80"/>
      <c r="AX138" s="80"/>
      <c r="AY138" s="80"/>
      <c r="AZ138" s="80"/>
      <c r="BA138" s="80"/>
      <c r="BB138" s="80"/>
      <c r="BC138">
        <v>9</v>
      </c>
      <c r="BD138" s="79" t="str">
        <f>REPLACE(INDEX(GroupVertices[Group],MATCH(Edges25[[#This Row],[Vertex 1]],GroupVertices[Vertex],0)),1,1,"")</f>
        <v>1</v>
      </c>
      <c r="BE138" s="79" t="str">
        <f>REPLACE(INDEX(GroupVertices[Group],MATCH(Edges25[[#This Row],[Vertex 2]],GroupVertices[Vertex],0)),1,1,"")</f>
        <v>1</v>
      </c>
      <c r="BF138" s="49"/>
      <c r="BG138" s="50"/>
      <c r="BH138" s="49"/>
      <c r="BI138" s="50"/>
      <c r="BJ138" s="49"/>
      <c r="BK138" s="50"/>
      <c r="BL138" s="49"/>
      <c r="BM138" s="50"/>
      <c r="BN138" s="49"/>
    </row>
    <row r="139" spans="1:66" ht="15">
      <c r="A139" s="65" t="s">
        <v>334</v>
      </c>
      <c r="B139" s="65" t="s">
        <v>377</v>
      </c>
      <c r="C139" s="66"/>
      <c r="D139" s="67"/>
      <c r="E139" s="66"/>
      <c r="F139" s="69"/>
      <c r="G139" s="66"/>
      <c r="H139" s="70"/>
      <c r="I139" s="71"/>
      <c r="J139" s="71"/>
      <c r="K139" s="35" t="s">
        <v>65</v>
      </c>
      <c r="L139" s="72">
        <v>319</v>
      </c>
      <c r="M139" s="72"/>
      <c r="N139" s="73"/>
      <c r="O139" s="80" t="s">
        <v>407</v>
      </c>
      <c r="P139" s="82">
        <v>44480.186689814815</v>
      </c>
      <c r="Q139" s="80" t="s">
        <v>468</v>
      </c>
      <c r="R139" s="85" t="str">
        <f>HYPERLINK("https://econ.trib.al/w1YeE88")</f>
        <v>https://econ.trib.al/w1YeE88</v>
      </c>
      <c r="S139" s="80" t="s">
        <v>528</v>
      </c>
      <c r="T139" s="80"/>
      <c r="U139" s="80"/>
      <c r="V139" s="85" t="str">
        <f>HYPERLINK("https://pbs.twimg.com/profile_images/1191749200121348096/BmfItDOa_normal.jpg")</f>
        <v>https://pbs.twimg.com/profile_images/1191749200121348096/BmfItDOa_normal.jpg</v>
      </c>
      <c r="W139" s="82">
        <v>44480.186689814815</v>
      </c>
      <c r="X139" s="87">
        <v>44480</v>
      </c>
      <c r="Y139" s="83" t="s">
        <v>700</v>
      </c>
      <c r="Z139" s="85" t="str">
        <f>HYPERLINK("https://twitter.com/oikos_solutions/status/1447418893706870785")</f>
        <v>https://twitter.com/oikos_solutions/status/1447418893706870785</v>
      </c>
      <c r="AA139" s="80"/>
      <c r="AB139" s="80"/>
      <c r="AC139" s="83" t="s">
        <v>886</v>
      </c>
      <c r="AD139" s="80"/>
      <c r="AE139" s="80" t="b">
        <v>0</v>
      </c>
      <c r="AF139" s="80">
        <v>0</v>
      </c>
      <c r="AG139" s="83" t="s">
        <v>952</v>
      </c>
      <c r="AH139" s="80" t="b">
        <v>0</v>
      </c>
      <c r="AI139" s="80" t="s">
        <v>967</v>
      </c>
      <c r="AJ139" s="80"/>
      <c r="AK139" s="83" t="s">
        <v>952</v>
      </c>
      <c r="AL139" s="80" t="b">
        <v>0</v>
      </c>
      <c r="AM139" s="80">
        <v>10</v>
      </c>
      <c r="AN139" s="83" t="s">
        <v>896</v>
      </c>
      <c r="AO139" s="83" t="s">
        <v>992</v>
      </c>
      <c r="AP139" s="80" t="b">
        <v>0</v>
      </c>
      <c r="AQ139" s="83" t="s">
        <v>896</v>
      </c>
      <c r="AR139" s="80" t="s">
        <v>196</v>
      </c>
      <c r="AS139" s="80">
        <v>0</v>
      </c>
      <c r="AT139" s="80">
        <v>0</v>
      </c>
      <c r="AU139" s="80"/>
      <c r="AV139" s="80"/>
      <c r="AW139" s="80"/>
      <c r="AX139" s="80"/>
      <c r="AY139" s="80"/>
      <c r="AZ139" s="80"/>
      <c r="BA139" s="80"/>
      <c r="BB139" s="80"/>
      <c r="BC139">
        <v>9</v>
      </c>
      <c r="BD139" s="79" t="str">
        <f>REPLACE(INDEX(GroupVertices[Group],MATCH(Edges25[[#This Row],[Vertex 1]],GroupVertices[Vertex],0)),1,1,"")</f>
        <v>1</v>
      </c>
      <c r="BE139" s="79" t="str">
        <f>REPLACE(INDEX(GroupVertices[Group],MATCH(Edges25[[#This Row],[Vertex 2]],GroupVertices[Vertex],0)),1,1,"")</f>
        <v>1</v>
      </c>
      <c r="BF139" s="49"/>
      <c r="BG139" s="50"/>
      <c r="BH139" s="49"/>
      <c r="BI139" s="50"/>
      <c r="BJ139" s="49"/>
      <c r="BK139" s="50"/>
      <c r="BL139" s="49"/>
      <c r="BM139" s="50"/>
      <c r="BN139" s="49"/>
    </row>
    <row r="140" spans="1:66" ht="15">
      <c r="A140" s="65" t="s">
        <v>335</v>
      </c>
      <c r="B140" s="65" t="s">
        <v>377</v>
      </c>
      <c r="C140" s="66"/>
      <c r="D140" s="67"/>
      <c r="E140" s="66"/>
      <c r="F140" s="69"/>
      <c r="G140" s="66"/>
      <c r="H140" s="70"/>
      <c r="I140" s="71"/>
      <c r="J140" s="71"/>
      <c r="K140" s="35" t="s">
        <v>65</v>
      </c>
      <c r="L140" s="72">
        <v>326</v>
      </c>
      <c r="M140" s="72"/>
      <c r="N140" s="73"/>
      <c r="O140" s="80" t="s">
        <v>407</v>
      </c>
      <c r="P140" s="82">
        <v>44480.35894675926</v>
      </c>
      <c r="Q140" s="80" t="s">
        <v>468</v>
      </c>
      <c r="R140" s="85" t="str">
        <f>HYPERLINK("https://econ.trib.al/w1YeE88")</f>
        <v>https://econ.trib.al/w1YeE88</v>
      </c>
      <c r="S140" s="80" t="s">
        <v>528</v>
      </c>
      <c r="T140" s="80"/>
      <c r="U140" s="80"/>
      <c r="V140" s="85" t="str">
        <f>HYPERLINK("https://pbs.twimg.com/profile_images/498539790849933314/u5A3CD6G_normal.jpeg")</f>
        <v>https://pbs.twimg.com/profile_images/498539790849933314/u5A3CD6G_normal.jpeg</v>
      </c>
      <c r="W140" s="82">
        <v>44480.35894675926</v>
      </c>
      <c r="X140" s="87">
        <v>44480</v>
      </c>
      <c r="Y140" s="83" t="s">
        <v>701</v>
      </c>
      <c r="Z140" s="85" t="str">
        <f>HYPERLINK("https://twitter.com/tigrinyan/status/1447481318284070915")</f>
        <v>https://twitter.com/tigrinyan/status/1447481318284070915</v>
      </c>
      <c r="AA140" s="80"/>
      <c r="AB140" s="80"/>
      <c r="AC140" s="83" t="s">
        <v>887</v>
      </c>
      <c r="AD140" s="80"/>
      <c r="AE140" s="80" t="b">
        <v>0</v>
      </c>
      <c r="AF140" s="80">
        <v>0</v>
      </c>
      <c r="AG140" s="83" t="s">
        <v>952</v>
      </c>
      <c r="AH140" s="80" t="b">
        <v>0</v>
      </c>
      <c r="AI140" s="80" t="s">
        <v>967</v>
      </c>
      <c r="AJ140" s="80"/>
      <c r="AK140" s="83" t="s">
        <v>952</v>
      </c>
      <c r="AL140" s="80" t="b">
        <v>0</v>
      </c>
      <c r="AM140" s="80">
        <v>10</v>
      </c>
      <c r="AN140" s="83" t="s">
        <v>896</v>
      </c>
      <c r="AO140" s="83" t="s">
        <v>979</v>
      </c>
      <c r="AP140" s="80" t="b">
        <v>0</v>
      </c>
      <c r="AQ140" s="83" t="s">
        <v>896</v>
      </c>
      <c r="AR140" s="80" t="s">
        <v>196</v>
      </c>
      <c r="AS140" s="80">
        <v>0</v>
      </c>
      <c r="AT140" s="80">
        <v>0</v>
      </c>
      <c r="AU140" s="80"/>
      <c r="AV140" s="80"/>
      <c r="AW140" s="80"/>
      <c r="AX140" s="80"/>
      <c r="AY140" s="80"/>
      <c r="AZ140" s="80"/>
      <c r="BA140" s="80"/>
      <c r="BB140" s="80"/>
      <c r="BC140">
        <v>1</v>
      </c>
      <c r="BD140" s="79" t="str">
        <f>REPLACE(INDEX(GroupVertices[Group],MATCH(Edges25[[#This Row],[Vertex 1]],GroupVertices[Vertex],0)),1,1,"")</f>
        <v>1</v>
      </c>
      <c r="BE140" s="79" t="str">
        <f>REPLACE(INDEX(GroupVertices[Group],MATCH(Edges25[[#This Row],[Vertex 2]],GroupVertices[Vertex],0)),1,1,"")</f>
        <v>1</v>
      </c>
      <c r="BF140" s="49"/>
      <c r="BG140" s="50"/>
      <c r="BH140" s="49"/>
      <c r="BI140" s="50"/>
      <c r="BJ140" s="49"/>
      <c r="BK140" s="50"/>
      <c r="BL140" s="49"/>
      <c r="BM140" s="50"/>
      <c r="BN140" s="49"/>
    </row>
    <row r="141" spans="1:66" ht="15">
      <c r="A141" s="65" t="s">
        <v>336</v>
      </c>
      <c r="B141" s="65" t="s">
        <v>361</v>
      </c>
      <c r="C141" s="66"/>
      <c r="D141" s="67"/>
      <c r="E141" s="66"/>
      <c r="F141" s="69"/>
      <c r="G141" s="66"/>
      <c r="H141" s="70"/>
      <c r="I141" s="71"/>
      <c r="J141" s="71"/>
      <c r="K141" s="35" t="s">
        <v>65</v>
      </c>
      <c r="L141" s="72">
        <v>330</v>
      </c>
      <c r="M141" s="72"/>
      <c r="N141" s="73"/>
      <c r="O141" s="80" t="s">
        <v>407</v>
      </c>
      <c r="P141" s="82">
        <v>44480.376493055555</v>
      </c>
      <c r="Q141" s="80" t="s">
        <v>454</v>
      </c>
      <c r="R141" s="85" t="str">
        <f>HYPERLINK("https://vegnews.com/2021/10/ashton-kutcher-cell-based-meat")</f>
        <v>https://vegnews.com/2021/10/ashton-kutcher-cell-based-meat</v>
      </c>
      <c r="S141" s="80" t="s">
        <v>532</v>
      </c>
      <c r="T141" s="83" t="s">
        <v>558</v>
      </c>
      <c r="U141" s="80"/>
      <c r="V141" s="85" t="str">
        <f>HYPERLINK("https://pbs.twimg.com/profile_images/1420068976957210624/Wjpu0_Mk_normal.jpg")</f>
        <v>https://pbs.twimg.com/profile_images/1420068976957210624/Wjpu0_Mk_normal.jpg</v>
      </c>
      <c r="W141" s="82">
        <v>44480.376493055555</v>
      </c>
      <c r="X141" s="87">
        <v>44480</v>
      </c>
      <c r="Y141" s="83" t="s">
        <v>702</v>
      </c>
      <c r="Z141" s="85" t="str">
        <f>HYPERLINK("https://twitter.com/jshpigler/status/1447487674202394624")</f>
        <v>https://twitter.com/jshpigler/status/1447487674202394624</v>
      </c>
      <c r="AA141" s="80"/>
      <c r="AB141" s="80"/>
      <c r="AC141" s="83" t="s">
        <v>888</v>
      </c>
      <c r="AD141" s="80"/>
      <c r="AE141" s="80" t="b">
        <v>0</v>
      </c>
      <c r="AF141" s="80">
        <v>0</v>
      </c>
      <c r="AG141" s="83" t="s">
        <v>952</v>
      </c>
      <c r="AH141" s="80" t="b">
        <v>0</v>
      </c>
      <c r="AI141" s="80" t="s">
        <v>967</v>
      </c>
      <c r="AJ141" s="80"/>
      <c r="AK141" s="83" t="s">
        <v>952</v>
      </c>
      <c r="AL141" s="80" t="b">
        <v>0</v>
      </c>
      <c r="AM141" s="80">
        <v>6</v>
      </c>
      <c r="AN141" s="83" t="s">
        <v>931</v>
      </c>
      <c r="AO141" s="83" t="s">
        <v>972</v>
      </c>
      <c r="AP141" s="80" t="b">
        <v>0</v>
      </c>
      <c r="AQ141" s="83" t="s">
        <v>931</v>
      </c>
      <c r="AR141" s="80" t="s">
        <v>196</v>
      </c>
      <c r="AS141" s="80">
        <v>0</v>
      </c>
      <c r="AT141" s="80">
        <v>0</v>
      </c>
      <c r="AU141" s="80"/>
      <c r="AV141" s="80"/>
      <c r="AW141" s="80"/>
      <c r="AX141" s="80"/>
      <c r="AY141" s="80"/>
      <c r="AZ141" s="80"/>
      <c r="BA141" s="80"/>
      <c r="BB141" s="80"/>
      <c r="BC141">
        <v>1</v>
      </c>
      <c r="BD141" s="79" t="str">
        <f>REPLACE(INDEX(GroupVertices[Group],MATCH(Edges25[[#This Row],[Vertex 1]],GroupVertices[Vertex],0)),1,1,"")</f>
        <v>4</v>
      </c>
      <c r="BE141" s="79" t="str">
        <f>REPLACE(INDEX(GroupVertices[Group],MATCH(Edges25[[#This Row],[Vertex 2]],GroupVertices[Vertex],0)),1,1,"")</f>
        <v>4</v>
      </c>
      <c r="BF141" s="49"/>
      <c r="BG141" s="50"/>
      <c r="BH141" s="49"/>
      <c r="BI141" s="50"/>
      <c r="BJ141" s="49"/>
      <c r="BK141" s="50"/>
      <c r="BL141" s="49"/>
      <c r="BM141" s="50"/>
      <c r="BN141" s="49"/>
    </row>
    <row r="142" spans="1:66" ht="15">
      <c r="A142" s="65" t="s">
        <v>337</v>
      </c>
      <c r="B142" s="65" t="s">
        <v>337</v>
      </c>
      <c r="C142" s="66"/>
      <c r="D142" s="67"/>
      <c r="E142" s="66"/>
      <c r="F142" s="69"/>
      <c r="G142" s="66"/>
      <c r="H142" s="70"/>
      <c r="I142" s="71"/>
      <c r="J142" s="71"/>
      <c r="K142" s="35" t="s">
        <v>65</v>
      </c>
      <c r="L142" s="72">
        <v>333</v>
      </c>
      <c r="M142" s="72"/>
      <c r="N142" s="73"/>
      <c r="O142" s="80" t="s">
        <v>196</v>
      </c>
      <c r="P142" s="82">
        <v>44480.38282407408</v>
      </c>
      <c r="Q142" s="80" t="s">
        <v>482</v>
      </c>
      <c r="R142" s="85" t="str">
        <f>HYPERLINK("https://vegconomist.com/studies-and-numbers/study-finds-over-half-of-south-africans-are-highly-likely-to-buy-alt-meat-products/")</f>
        <v>https://vegconomist.com/studies-and-numbers/study-finds-over-half-of-south-africans-are-highly-likely-to-buy-alt-meat-products/</v>
      </c>
      <c r="S142" s="80" t="s">
        <v>524</v>
      </c>
      <c r="T142" s="80"/>
      <c r="U142" s="80"/>
      <c r="V142" s="85" t="str">
        <f>HYPERLINK("https://pbs.twimg.com/profile_images/1284061129816367104/bEv3De_Q_normal.jpg")</f>
        <v>https://pbs.twimg.com/profile_images/1284061129816367104/bEv3De_Q_normal.jpg</v>
      </c>
      <c r="W142" s="82">
        <v>44480.38282407408</v>
      </c>
      <c r="X142" s="87">
        <v>44480</v>
      </c>
      <c r="Y142" s="83" t="s">
        <v>703</v>
      </c>
      <c r="Z142" s="85" t="str">
        <f>HYPERLINK("https://twitter.com/animalsujet/status/1447489967899480066")</f>
        <v>https://twitter.com/animalsujet/status/1447489967899480066</v>
      </c>
      <c r="AA142" s="80"/>
      <c r="AB142" s="80"/>
      <c r="AC142" s="83" t="s">
        <v>889</v>
      </c>
      <c r="AD142" s="80"/>
      <c r="AE142" s="80" t="b">
        <v>0</v>
      </c>
      <c r="AF142" s="80">
        <v>0</v>
      </c>
      <c r="AG142" s="83" t="s">
        <v>952</v>
      </c>
      <c r="AH142" s="80" t="b">
        <v>0</v>
      </c>
      <c r="AI142" s="80" t="s">
        <v>967</v>
      </c>
      <c r="AJ142" s="80"/>
      <c r="AK142" s="83" t="s">
        <v>952</v>
      </c>
      <c r="AL142" s="80" t="b">
        <v>0</v>
      </c>
      <c r="AM142" s="80">
        <v>0</v>
      </c>
      <c r="AN142" s="83" t="s">
        <v>952</v>
      </c>
      <c r="AO142" s="83" t="s">
        <v>972</v>
      </c>
      <c r="AP142" s="80" t="b">
        <v>0</v>
      </c>
      <c r="AQ142" s="83" t="s">
        <v>889</v>
      </c>
      <c r="AR142" s="80" t="s">
        <v>196</v>
      </c>
      <c r="AS142" s="80">
        <v>0</v>
      </c>
      <c r="AT142" s="80">
        <v>0</v>
      </c>
      <c r="AU142" s="80"/>
      <c r="AV142" s="80"/>
      <c r="AW142" s="80"/>
      <c r="AX142" s="80"/>
      <c r="AY142" s="80"/>
      <c r="AZ142" s="80"/>
      <c r="BA142" s="80"/>
      <c r="BB142" s="80"/>
      <c r="BC142">
        <v>1</v>
      </c>
      <c r="BD142" s="79" t="str">
        <f>REPLACE(INDEX(GroupVertices[Group],MATCH(Edges25[[#This Row],[Vertex 1]],GroupVertices[Vertex],0)),1,1,"")</f>
        <v>2</v>
      </c>
      <c r="BE142" s="79" t="str">
        <f>REPLACE(INDEX(GroupVertices[Group],MATCH(Edges25[[#This Row],[Vertex 2]],GroupVertices[Vertex],0)),1,1,"")</f>
        <v>2</v>
      </c>
      <c r="BF142" s="49">
        <v>0</v>
      </c>
      <c r="BG142" s="50">
        <v>0</v>
      </c>
      <c r="BH142" s="49">
        <v>0</v>
      </c>
      <c r="BI142" s="50">
        <v>0</v>
      </c>
      <c r="BJ142" s="49">
        <v>0</v>
      </c>
      <c r="BK142" s="50">
        <v>0</v>
      </c>
      <c r="BL142" s="49">
        <v>38</v>
      </c>
      <c r="BM142" s="50">
        <v>100</v>
      </c>
      <c r="BN142" s="49">
        <v>38</v>
      </c>
    </row>
    <row r="143" spans="1:66" ht="15">
      <c r="A143" s="65" t="s">
        <v>338</v>
      </c>
      <c r="B143" s="65" t="s">
        <v>338</v>
      </c>
      <c r="C143" s="66"/>
      <c r="D143" s="67"/>
      <c r="E143" s="66"/>
      <c r="F143" s="69"/>
      <c r="G143" s="66"/>
      <c r="H143" s="70"/>
      <c r="I143" s="71"/>
      <c r="J143" s="71"/>
      <c r="K143" s="35" t="s">
        <v>65</v>
      </c>
      <c r="L143" s="72">
        <v>334</v>
      </c>
      <c r="M143" s="72"/>
      <c r="N143" s="73"/>
      <c r="O143" s="80" t="s">
        <v>196</v>
      </c>
      <c r="P143" s="82">
        <v>44480.52700231481</v>
      </c>
      <c r="Q143" s="80" t="s">
        <v>483</v>
      </c>
      <c r="R143" s="85" t="str">
        <f>HYPERLINK("https://3dprint.com/285770/ashton-kutcher-group-teams-with-bioprinted-alt-meat-startup-meatech/")</f>
        <v>https://3dprint.com/285770/ashton-kutcher-group-teams-with-bioprinted-alt-meat-startup-meatech/</v>
      </c>
      <c r="S143" s="80" t="s">
        <v>541</v>
      </c>
      <c r="T143" s="80"/>
      <c r="U143" s="85" t="str">
        <f>HYPERLINK("https://pbs.twimg.com/media/FBaz-aLWUAA0dy8.jpg")</f>
        <v>https://pbs.twimg.com/media/FBaz-aLWUAA0dy8.jpg</v>
      </c>
      <c r="V143" s="85" t="str">
        <f>HYPERLINK("https://pbs.twimg.com/media/FBaz-aLWUAA0dy8.jpg")</f>
        <v>https://pbs.twimg.com/media/FBaz-aLWUAA0dy8.jpg</v>
      </c>
      <c r="W143" s="82">
        <v>44480.52700231481</v>
      </c>
      <c r="X143" s="87">
        <v>44480</v>
      </c>
      <c r="Y143" s="83" t="s">
        <v>704</v>
      </c>
      <c r="Z143" s="85" t="str">
        <f>HYPERLINK("https://twitter.com/makers_movement/status/1447542217271386117")</f>
        <v>https://twitter.com/makers_movement/status/1447542217271386117</v>
      </c>
      <c r="AA143" s="80"/>
      <c r="AB143" s="80"/>
      <c r="AC143" s="83" t="s">
        <v>890</v>
      </c>
      <c r="AD143" s="80"/>
      <c r="AE143" s="80" t="b">
        <v>0</v>
      </c>
      <c r="AF143" s="80">
        <v>0</v>
      </c>
      <c r="AG143" s="83" t="s">
        <v>952</v>
      </c>
      <c r="AH143" s="80" t="b">
        <v>0</v>
      </c>
      <c r="AI143" s="80" t="s">
        <v>967</v>
      </c>
      <c r="AJ143" s="80"/>
      <c r="AK143" s="83" t="s">
        <v>952</v>
      </c>
      <c r="AL143" s="80" t="b">
        <v>0</v>
      </c>
      <c r="AM143" s="80">
        <v>0</v>
      </c>
      <c r="AN143" s="83" t="s">
        <v>952</v>
      </c>
      <c r="AO143" s="83" t="s">
        <v>984</v>
      </c>
      <c r="AP143" s="80" t="b">
        <v>0</v>
      </c>
      <c r="AQ143" s="83" t="s">
        <v>890</v>
      </c>
      <c r="AR143" s="80" t="s">
        <v>196</v>
      </c>
      <c r="AS143" s="80">
        <v>0</v>
      </c>
      <c r="AT143" s="80">
        <v>0</v>
      </c>
      <c r="AU143" s="80"/>
      <c r="AV143" s="80"/>
      <c r="AW143" s="80"/>
      <c r="AX143" s="80"/>
      <c r="AY143" s="80"/>
      <c r="AZ143" s="80"/>
      <c r="BA143" s="80"/>
      <c r="BB143" s="80"/>
      <c r="BC143">
        <v>1</v>
      </c>
      <c r="BD143" s="79" t="str">
        <f>REPLACE(INDEX(GroupVertices[Group],MATCH(Edges25[[#This Row],[Vertex 1]],GroupVertices[Vertex],0)),1,1,"")</f>
        <v>2</v>
      </c>
      <c r="BE143" s="79" t="str">
        <f>REPLACE(INDEX(GroupVertices[Group],MATCH(Edges25[[#This Row],[Vertex 2]],GroupVertices[Vertex],0)),1,1,"")</f>
        <v>2</v>
      </c>
      <c r="BF143" s="49">
        <v>1</v>
      </c>
      <c r="BG143" s="50">
        <v>2.7027027027027026</v>
      </c>
      <c r="BH143" s="49">
        <v>0</v>
      </c>
      <c r="BI143" s="50">
        <v>0</v>
      </c>
      <c r="BJ143" s="49">
        <v>0</v>
      </c>
      <c r="BK143" s="50">
        <v>0</v>
      </c>
      <c r="BL143" s="49">
        <v>36</v>
      </c>
      <c r="BM143" s="50">
        <v>97.29729729729729</v>
      </c>
      <c r="BN143" s="49">
        <v>37</v>
      </c>
    </row>
    <row r="144" spans="1:66" ht="15">
      <c r="A144" s="65" t="s">
        <v>339</v>
      </c>
      <c r="B144" s="65" t="s">
        <v>339</v>
      </c>
      <c r="C144" s="66"/>
      <c r="D144" s="67"/>
      <c r="E144" s="66"/>
      <c r="F144" s="69"/>
      <c r="G144" s="66"/>
      <c r="H144" s="70"/>
      <c r="I144" s="71"/>
      <c r="J144" s="71"/>
      <c r="K144" s="35" t="s">
        <v>65</v>
      </c>
      <c r="L144" s="72">
        <v>335</v>
      </c>
      <c r="M144" s="72"/>
      <c r="N144" s="73"/>
      <c r="O144" s="80" t="s">
        <v>196</v>
      </c>
      <c r="P144" s="82">
        <v>44480.655486111114</v>
      </c>
      <c r="Q144" s="80" t="s">
        <v>484</v>
      </c>
      <c r="R144" s="80"/>
      <c r="S144" s="80"/>
      <c r="T144" s="83" t="s">
        <v>560</v>
      </c>
      <c r="U144" s="85" t="str">
        <f>HYPERLINK("https://pbs.twimg.com/media/FBbeG7hXMAAG8sY.jpg")</f>
        <v>https://pbs.twimg.com/media/FBbeG7hXMAAG8sY.jpg</v>
      </c>
      <c r="V144" s="85" t="str">
        <f>HYPERLINK("https://pbs.twimg.com/media/FBbeG7hXMAAG8sY.jpg")</f>
        <v>https://pbs.twimg.com/media/FBbeG7hXMAAG8sY.jpg</v>
      </c>
      <c r="W144" s="82">
        <v>44480.655486111114</v>
      </c>
      <c r="X144" s="87">
        <v>44480</v>
      </c>
      <c r="Y144" s="83" t="s">
        <v>705</v>
      </c>
      <c r="Z144" s="85" t="str">
        <f>HYPERLINK("https://twitter.com/vegansfacts/status/1447588777141149698")</f>
        <v>https://twitter.com/vegansfacts/status/1447588777141149698</v>
      </c>
      <c r="AA144" s="80"/>
      <c r="AB144" s="80"/>
      <c r="AC144" s="83" t="s">
        <v>891</v>
      </c>
      <c r="AD144" s="80"/>
      <c r="AE144" s="80" t="b">
        <v>0</v>
      </c>
      <c r="AF144" s="80">
        <v>1</v>
      </c>
      <c r="AG144" s="83" t="s">
        <v>952</v>
      </c>
      <c r="AH144" s="80" t="b">
        <v>0</v>
      </c>
      <c r="AI144" s="80" t="s">
        <v>967</v>
      </c>
      <c r="AJ144" s="80"/>
      <c r="AK144" s="83" t="s">
        <v>952</v>
      </c>
      <c r="AL144" s="80" t="b">
        <v>0</v>
      </c>
      <c r="AM144" s="80">
        <v>0</v>
      </c>
      <c r="AN144" s="83" t="s">
        <v>952</v>
      </c>
      <c r="AO144" s="83" t="s">
        <v>993</v>
      </c>
      <c r="AP144" s="80" t="b">
        <v>0</v>
      </c>
      <c r="AQ144" s="83" t="s">
        <v>891</v>
      </c>
      <c r="AR144" s="80" t="s">
        <v>196</v>
      </c>
      <c r="AS144" s="80">
        <v>0</v>
      </c>
      <c r="AT144" s="80">
        <v>0</v>
      </c>
      <c r="AU144" s="80"/>
      <c r="AV144" s="80"/>
      <c r="AW144" s="80"/>
      <c r="AX144" s="80"/>
      <c r="AY144" s="80"/>
      <c r="AZ144" s="80"/>
      <c r="BA144" s="80"/>
      <c r="BB144" s="80"/>
      <c r="BC144">
        <v>1</v>
      </c>
      <c r="BD144" s="79" t="str">
        <f>REPLACE(INDEX(GroupVertices[Group],MATCH(Edges25[[#This Row],[Vertex 1]],GroupVertices[Vertex],0)),1,1,"")</f>
        <v>2</v>
      </c>
      <c r="BE144" s="79" t="str">
        <f>REPLACE(INDEX(GroupVertices[Group],MATCH(Edges25[[#This Row],[Vertex 2]],GroupVertices[Vertex],0)),1,1,"")</f>
        <v>2</v>
      </c>
      <c r="BF144" s="49">
        <v>0</v>
      </c>
      <c r="BG144" s="50">
        <v>0</v>
      </c>
      <c r="BH144" s="49">
        <v>0</v>
      </c>
      <c r="BI144" s="50">
        <v>0</v>
      </c>
      <c r="BJ144" s="49">
        <v>0</v>
      </c>
      <c r="BK144" s="50">
        <v>0</v>
      </c>
      <c r="BL144" s="49">
        <v>15</v>
      </c>
      <c r="BM144" s="50">
        <v>100</v>
      </c>
      <c r="BN144" s="49">
        <v>15</v>
      </c>
    </row>
    <row r="145" spans="1:66" ht="15">
      <c r="A145" s="65" t="s">
        <v>340</v>
      </c>
      <c r="B145" s="65" t="s">
        <v>340</v>
      </c>
      <c r="C145" s="66"/>
      <c r="D145" s="67"/>
      <c r="E145" s="66"/>
      <c r="F145" s="69"/>
      <c r="G145" s="66"/>
      <c r="H145" s="70"/>
      <c r="I145" s="71"/>
      <c r="J145" s="71"/>
      <c r="K145" s="35" t="s">
        <v>65</v>
      </c>
      <c r="L145" s="72">
        <v>336</v>
      </c>
      <c r="M145" s="72"/>
      <c r="N145" s="73"/>
      <c r="O145" s="80" t="s">
        <v>196</v>
      </c>
      <c r="P145" s="82">
        <v>44480.65761574074</v>
      </c>
      <c r="Q145" s="80" t="s">
        <v>485</v>
      </c>
      <c r="R145" s="80"/>
      <c r="S145" s="80"/>
      <c r="T145" s="80"/>
      <c r="U145" s="80"/>
      <c r="V145" s="85" t="str">
        <f>HYPERLINK("https://pbs.twimg.com/profile_images/1447267260033224704/XlKckFsW_normal.jpg")</f>
        <v>https://pbs.twimg.com/profile_images/1447267260033224704/XlKckFsW_normal.jpg</v>
      </c>
      <c r="W145" s="82">
        <v>44480.65761574074</v>
      </c>
      <c r="X145" s="87">
        <v>44480</v>
      </c>
      <c r="Y145" s="83" t="s">
        <v>706</v>
      </c>
      <c r="Z145" s="85" t="str">
        <f>HYPERLINK("https://twitter.com/kobergcapital/status/1447589551120154628")</f>
        <v>https://twitter.com/kobergcapital/status/1447589551120154628</v>
      </c>
      <c r="AA145" s="80"/>
      <c r="AB145" s="80"/>
      <c r="AC145" s="83" t="s">
        <v>892</v>
      </c>
      <c r="AD145" s="83" t="s">
        <v>946</v>
      </c>
      <c r="AE145" s="80" t="b">
        <v>0</v>
      </c>
      <c r="AF145" s="80">
        <v>0</v>
      </c>
      <c r="AG145" s="83" t="s">
        <v>962</v>
      </c>
      <c r="AH145" s="80" t="b">
        <v>0</v>
      </c>
      <c r="AI145" s="80" t="s">
        <v>967</v>
      </c>
      <c r="AJ145" s="80"/>
      <c r="AK145" s="83" t="s">
        <v>952</v>
      </c>
      <c r="AL145" s="80" t="b">
        <v>0</v>
      </c>
      <c r="AM145" s="80">
        <v>0</v>
      </c>
      <c r="AN145" s="83" t="s">
        <v>952</v>
      </c>
      <c r="AO145" s="83" t="s">
        <v>972</v>
      </c>
      <c r="AP145" s="80" t="b">
        <v>0</v>
      </c>
      <c r="AQ145" s="83" t="s">
        <v>946</v>
      </c>
      <c r="AR145" s="80" t="s">
        <v>196</v>
      </c>
      <c r="AS145" s="80">
        <v>0</v>
      </c>
      <c r="AT145" s="80">
        <v>0</v>
      </c>
      <c r="AU145" s="80"/>
      <c r="AV145" s="80"/>
      <c r="AW145" s="80"/>
      <c r="AX145" s="80"/>
      <c r="AY145" s="80"/>
      <c r="AZ145" s="80"/>
      <c r="BA145" s="80"/>
      <c r="BB145" s="80"/>
      <c r="BC145">
        <v>1</v>
      </c>
      <c r="BD145" s="79" t="str">
        <f>REPLACE(INDEX(GroupVertices[Group],MATCH(Edges25[[#This Row],[Vertex 1]],GroupVertices[Vertex],0)),1,1,"")</f>
        <v>2</v>
      </c>
      <c r="BE145" s="79" t="str">
        <f>REPLACE(INDEX(GroupVertices[Group],MATCH(Edges25[[#This Row],[Vertex 2]],GroupVertices[Vertex],0)),1,1,"")</f>
        <v>2</v>
      </c>
      <c r="BF145" s="49">
        <v>4</v>
      </c>
      <c r="BG145" s="50">
        <v>11.764705882352942</v>
      </c>
      <c r="BH145" s="49">
        <v>0</v>
      </c>
      <c r="BI145" s="50">
        <v>0</v>
      </c>
      <c r="BJ145" s="49">
        <v>0</v>
      </c>
      <c r="BK145" s="50">
        <v>0</v>
      </c>
      <c r="BL145" s="49">
        <v>30</v>
      </c>
      <c r="BM145" s="50">
        <v>88.23529411764706</v>
      </c>
      <c r="BN145" s="49">
        <v>34</v>
      </c>
    </row>
    <row r="146" spans="1:66" ht="15">
      <c r="A146" s="65" t="s">
        <v>341</v>
      </c>
      <c r="B146" s="65" t="s">
        <v>396</v>
      </c>
      <c r="C146" s="66"/>
      <c r="D146" s="67"/>
      <c r="E146" s="66"/>
      <c r="F146" s="69"/>
      <c r="G146" s="66"/>
      <c r="H146" s="70"/>
      <c r="I146" s="71"/>
      <c r="J146" s="71"/>
      <c r="K146" s="35" t="s">
        <v>65</v>
      </c>
      <c r="L146" s="72">
        <v>337</v>
      </c>
      <c r="M146" s="72"/>
      <c r="N146" s="73"/>
      <c r="O146" s="80" t="s">
        <v>406</v>
      </c>
      <c r="P146" s="82">
        <v>44474.95949074074</v>
      </c>
      <c r="Q146" s="80" t="s">
        <v>486</v>
      </c>
      <c r="R146"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46" s="80" t="s">
        <v>535</v>
      </c>
      <c r="T146" s="80"/>
      <c r="U146" s="80"/>
      <c r="V146" s="85" t="str">
        <f>HYPERLINK("https://pbs.twimg.com/profile_images/879700936704315392/WxI5eCW5_normal.jpg")</f>
        <v>https://pbs.twimg.com/profile_images/879700936704315392/WxI5eCW5_normal.jpg</v>
      </c>
      <c r="W146" s="82">
        <v>44474.95949074074</v>
      </c>
      <c r="X146" s="87">
        <v>44474</v>
      </c>
      <c r="Y146" s="83" t="s">
        <v>707</v>
      </c>
      <c r="Z146" s="85" t="str">
        <f>HYPERLINK("https://twitter.com/economistpods/status/1445524618702327811")</f>
        <v>https://twitter.com/economistpods/status/1445524618702327811</v>
      </c>
      <c r="AA146" s="80"/>
      <c r="AB146" s="80"/>
      <c r="AC146" s="83" t="s">
        <v>893</v>
      </c>
      <c r="AD146" s="80"/>
      <c r="AE146" s="80" t="b">
        <v>0</v>
      </c>
      <c r="AF146" s="80">
        <v>0</v>
      </c>
      <c r="AG146" s="83" t="s">
        <v>952</v>
      </c>
      <c r="AH146" s="80" t="b">
        <v>0</v>
      </c>
      <c r="AI146" s="80" t="s">
        <v>967</v>
      </c>
      <c r="AJ146" s="80"/>
      <c r="AK146" s="83" t="s">
        <v>952</v>
      </c>
      <c r="AL146" s="80" t="b">
        <v>0</v>
      </c>
      <c r="AM146" s="80">
        <v>0</v>
      </c>
      <c r="AN146" s="83" t="s">
        <v>952</v>
      </c>
      <c r="AO146" s="83" t="s">
        <v>990</v>
      </c>
      <c r="AP146" s="80" t="b">
        <v>0</v>
      </c>
      <c r="AQ146" s="83" t="s">
        <v>893</v>
      </c>
      <c r="AR146" s="80" t="s">
        <v>196</v>
      </c>
      <c r="AS146" s="80">
        <v>0</v>
      </c>
      <c r="AT146" s="80">
        <v>0</v>
      </c>
      <c r="AU146" s="80"/>
      <c r="AV146" s="80"/>
      <c r="AW146" s="80"/>
      <c r="AX146" s="80"/>
      <c r="AY146" s="80"/>
      <c r="AZ146" s="80"/>
      <c r="BA146" s="80"/>
      <c r="BB146" s="80"/>
      <c r="BC146">
        <v>1</v>
      </c>
      <c r="BD146" s="79" t="str">
        <f>REPLACE(INDEX(GroupVertices[Group],MATCH(Edges25[[#This Row],[Vertex 1]],GroupVertices[Vertex],0)),1,1,"")</f>
        <v>1</v>
      </c>
      <c r="BE146" s="79" t="str">
        <f>REPLACE(INDEX(GroupVertices[Group],MATCH(Edges25[[#This Row],[Vertex 2]],GroupVertices[Vertex],0)),1,1,"")</f>
        <v>1</v>
      </c>
      <c r="BF146" s="49">
        <v>0</v>
      </c>
      <c r="BG146" s="50">
        <v>0</v>
      </c>
      <c r="BH146" s="49">
        <v>0</v>
      </c>
      <c r="BI146" s="50">
        <v>0</v>
      </c>
      <c r="BJ146" s="49">
        <v>0</v>
      </c>
      <c r="BK146" s="50">
        <v>0</v>
      </c>
      <c r="BL146" s="49">
        <v>34</v>
      </c>
      <c r="BM146" s="50">
        <v>100</v>
      </c>
      <c r="BN146" s="49">
        <v>34</v>
      </c>
    </row>
    <row r="147" spans="1:66" ht="15">
      <c r="A147" s="65" t="s">
        <v>342</v>
      </c>
      <c r="B147" s="65" t="s">
        <v>377</v>
      </c>
      <c r="C147" s="66"/>
      <c r="D147" s="67"/>
      <c r="E147" s="66"/>
      <c r="F147" s="69"/>
      <c r="G147" s="66"/>
      <c r="H147" s="70"/>
      <c r="I147" s="71"/>
      <c r="J147" s="71"/>
      <c r="K147" s="35" t="s">
        <v>65</v>
      </c>
      <c r="L147" s="72">
        <v>339</v>
      </c>
      <c r="M147" s="72"/>
      <c r="N147" s="73"/>
      <c r="O147" s="80" t="s">
        <v>406</v>
      </c>
      <c r="P147" s="82">
        <v>44476.41684027778</v>
      </c>
      <c r="Q147" s="80" t="s">
        <v>432</v>
      </c>
      <c r="R147" s="85" t="str">
        <f>HYPERLINK("https://econ.trib.al/UuLdSAj")</f>
        <v>https://econ.trib.al/UuLdSAj</v>
      </c>
      <c r="S147" s="80" t="s">
        <v>528</v>
      </c>
      <c r="T147" s="80"/>
      <c r="U147" s="80"/>
      <c r="V147" s="85" t="str">
        <f>HYPERLINK("https://pbs.twimg.com/profile_images/879361767914262528/HdRauDM-_normal.jpg")</f>
        <v>https://pbs.twimg.com/profile_images/879361767914262528/HdRauDM-_normal.jpg</v>
      </c>
      <c r="W147" s="82">
        <v>44476.41684027778</v>
      </c>
      <c r="X147" s="87">
        <v>44476</v>
      </c>
      <c r="Y147" s="83" t="s">
        <v>708</v>
      </c>
      <c r="Z147" s="85" t="str">
        <f>HYPERLINK("https://twitter.com/theeconomist/status/1446052745350365184")</f>
        <v>https://twitter.com/theeconomist/status/1446052745350365184</v>
      </c>
      <c r="AA147" s="80"/>
      <c r="AB147" s="80"/>
      <c r="AC147" s="83" t="s">
        <v>894</v>
      </c>
      <c r="AD147" s="80"/>
      <c r="AE147" s="80" t="b">
        <v>0</v>
      </c>
      <c r="AF147" s="80">
        <v>24</v>
      </c>
      <c r="AG147" s="83" t="s">
        <v>952</v>
      </c>
      <c r="AH147" s="80" t="b">
        <v>0</v>
      </c>
      <c r="AI147" s="80" t="s">
        <v>967</v>
      </c>
      <c r="AJ147" s="80"/>
      <c r="AK147" s="83" t="s">
        <v>952</v>
      </c>
      <c r="AL147" s="80" t="b">
        <v>0</v>
      </c>
      <c r="AM147" s="80">
        <v>11</v>
      </c>
      <c r="AN147" s="83" t="s">
        <v>952</v>
      </c>
      <c r="AO147" s="83" t="s">
        <v>990</v>
      </c>
      <c r="AP147" s="80" t="b">
        <v>0</v>
      </c>
      <c r="AQ147" s="83" t="s">
        <v>894</v>
      </c>
      <c r="AR147" s="80" t="s">
        <v>196</v>
      </c>
      <c r="AS147" s="80">
        <v>0</v>
      </c>
      <c r="AT147" s="80">
        <v>0</v>
      </c>
      <c r="AU147" s="80"/>
      <c r="AV147" s="80"/>
      <c r="AW147" s="80"/>
      <c r="AX147" s="80"/>
      <c r="AY147" s="80"/>
      <c r="AZ147" s="80"/>
      <c r="BA147" s="80"/>
      <c r="BB147" s="80"/>
      <c r="BC147">
        <v>3</v>
      </c>
      <c r="BD147" s="79" t="str">
        <f>REPLACE(INDEX(GroupVertices[Group],MATCH(Edges25[[#This Row],[Vertex 1]],GroupVertices[Vertex],0)),1,1,"")</f>
        <v>1</v>
      </c>
      <c r="BE147" s="79" t="str">
        <f>REPLACE(INDEX(GroupVertices[Group],MATCH(Edges25[[#This Row],[Vertex 2]],GroupVertices[Vertex],0)),1,1,"")</f>
        <v>1</v>
      </c>
      <c r="BF147" s="49"/>
      <c r="BG147" s="50"/>
      <c r="BH147" s="49"/>
      <c r="BI147" s="50"/>
      <c r="BJ147" s="49"/>
      <c r="BK147" s="50"/>
      <c r="BL147" s="49"/>
      <c r="BM147" s="50"/>
      <c r="BN147" s="49"/>
    </row>
    <row r="148" spans="1:66" ht="15">
      <c r="A148" s="65" t="s">
        <v>342</v>
      </c>
      <c r="B148" s="65" t="s">
        <v>377</v>
      </c>
      <c r="C148" s="66"/>
      <c r="D148" s="67"/>
      <c r="E148" s="66"/>
      <c r="F148" s="69"/>
      <c r="G148" s="66"/>
      <c r="H148" s="70"/>
      <c r="I148" s="71"/>
      <c r="J148" s="71"/>
      <c r="K148" s="35" t="s">
        <v>65</v>
      </c>
      <c r="L148" s="72">
        <v>340</v>
      </c>
      <c r="M148" s="72"/>
      <c r="N148" s="73"/>
      <c r="O148" s="80" t="s">
        <v>406</v>
      </c>
      <c r="P148" s="82">
        <v>44478.16677083333</v>
      </c>
      <c r="Q148" s="80" t="s">
        <v>452</v>
      </c>
      <c r="R148" s="85" t="str">
        <f>HYPERLINK("https://econ.trib.al/B6siniM")</f>
        <v>https://econ.trib.al/B6siniM</v>
      </c>
      <c r="S148" s="80" t="s">
        <v>528</v>
      </c>
      <c r="T148" s="80"/>
      <c r="U148" s="80"/>
      <c r="V148" s="85" t="str">
        <f>HYPERLINK("https://pbs.twimg.com/profile_images/879361767914262528/HdRauDM-_normal.jpg")</f>
        <v>https://pbs.twimg.com/profile_images/879361767914262528/HdRauDM-_normal.jpg</v>
      </c>
      <c r="W148" s="82">
        <v>44478.16677083333</v>
      </c>
      <c r="X148" s="87">
        <v>44478</v>
      </c>
      <c r="Y148" s="83" t="s">
        <v>709</v>
      </c>
      <c r="Z148" s="85" t="str">
        <f>HYPERLINK("https://twitter.com/theeconomist/status/1446686897695305740")</f>
        <v>https://twitter.com/theeconomist/status/1446686897695305740</v>
      </c>
      <c r="AA148" s="80"/>
      <c r="AB148" s="80"/>
      <c r="AC148" s="83" t="s">
        <v>895</v>
      </c>
      <c r="AD148" s="80"/>
      <c r="AE148" s="80" t="b">
        <v>0</v>
      </c>
      <c r="AF148" s="80">
        <v>28</v>
      </c>
      <c r="AG148" s="83" t="s">
        <v>952</v>
      </c>
      <c r="AH148" s="80" t="b">
        <v>0</v>
      </c>
      <c r="AI148" s="80" t="s">
        <v>967</v>
      </c>
      <c r="AJ148" s="80"/>
      <c r="AK148" s="83" t="s">
        <v>952</v>
      </c>
      <c r="AL148" s="80" t="b">
        <v>0</v>
      </c>
      <c r="AM148" s="80">
        <v>12</v>
      </c>
      <c r="AN148" s="83" t="s">
        <v>952</v>
      </c>
      <c r="AO148" s="83" t="s">
        <v>990</v>
      </c>
      <c r="AP148" s="80" t="b">
        <v>0</v>
      </c>
      <c r="AQ148" s="83" t="s">
        <v>895</v>
      </c>
      <c r="AR148" s="80" t="s">
        <v>196</v>
      </c>
      <c r="AS148" s="80">
        <v>0</v>
      </c>
      <c r="AT148" s="80">
        <v>0</v>
      </c>
      <c r="AU148" s="80"/>
      <c r="AV148" s="80"/>
      <c r="AW148" s="80"/>
      <c r="AX148" s="80"/>
      <c r="AY148" s="80"/>
      <c r="AZ148" s="80"/>
      <c r="BA148" s="80"/>
      <c r="BB148" s="80"/>
      <c r="BC148">
        <v>3</v>
      </c>
      <c r="BD148" s="79" t="str">
        <f>REPLACE(INDEX(GroupVertices[Group],MATCH(Edges25[[#This Row],[Vertex 1]],GroupVertices[Vertex],0)),1,1,"")</f>
        <v>1</v>
      </c>
      <c r="BE148" s="79" t="str">
        <f>REPLACE(INDEX(GroupVertices[Group],MATCH(Edges25[[#This Row],[Vertex 2]],GroupVertices[Vertex],0)),1,1,"")</f>
        <v>1</v>
      </c>
      <c r="BF148" s="49"/>
      <c r="BG148" s="50"/>
      <c r="BH148" s="49"/>
      <c r="BI148" s="50"/>
      <c r="BJ148" s="49"/>
      <c r="BK148" s="50"/>
      <c r="BL148" s="49"/>
      <c r="BM148" s="50"/>
      <c r="BN148" s="49"/>
    </row>
    <row r="149" spans="1:66" ht="15">
      <c r="A149" s="65" t="s">
        <v>342</v>
      </c>
      <c r="B149" s="65" t="s">
        <v>377</v>
      </c>
      <c r="C149" s="66"/>
      <c r="D149" s="67"/>
      <c r="E149" s="66"/>
      <c r="F149" s="69"/>
      <c r="G149" s="66"/>
      <c r="H149" s="70"/>
      <c r="I149" s="71"/>
      <c r="J149" s="71"/>
      <c r="K149" s="35" t="s">
        <v>65</v>
      </c>
      <c r="L149" s="72">
        <v>341</v>
      </c>
      <c r="M149" s="72"/>
      <c r="N149" s="73"/>
      <c r="O149" s="80" t="s">
        <v>406</v>
      </c>
      <c r="P149" s="82">
        <v>44480.16668981482</v>
      </c>
      <c r="Q149" s="80" t="s">
        <v>468</v>
      </c>
      <c r="R149" s="85" t="str">
        <f>HYPERLINK("https://econ.trib.al/w1YeE88")</f>
        <v>https://econ.trib.al/w1YeE88</v>
      </c>
      <c r="S149" s="80" t="s">
        <v>528</v>
      </c>
      <c r="T149" s="80"/>
      <c r="U149" s="80"/>
      <c r="V149" s="85" t="str">
        <f>HYPERLINK("https://pbs.twimg.com/profile_images/879361767914262528/HdRauDM-_normal.jpg")</f>
        <v>https://pbs.twimg.com/profile_images/879361767914262528/HdRauDM-_normal.jpg</v>
      </c>
      <c r="W149" s="82">
        <v>44480.16668981482</v>
      </c>
      <c r="X149" s="87">
        <v>44480</v>
      </c>
      <c r="Y149" s="83" t="s">
        <v>710</v>
      </c>
      <c r="Z149" s="85" t="str">
        <f>HYPERLINK("https://twitter.com/theeconomist/status/1447411644942929923")</f>
        <v>https://twitter.com/theeconomist/status/1447411644942929923</v>
      </c>
      <c r="AA149" s="80"/>
      <c r="AB149" s="80"/>
      <c r="AC149" s="83" t="s">
        <v>896</v>
      </c>
      <c r="AD149" s="80"/>
      <c r="AE149" s="80" t="b">
        <v>0</v>
      </c>
      <c r="AF149" s="80">
        <v>32</v>
      </c>
      <c r="AG149" s="83" t="s">
        <v>952</v>
      </c>
      <c r="AH149" s="80" t="b">
        <v>0</v>
      </c>
      <c r="AI149" s="80" t="s">
        <v>967</v>
      </c>
      <c r="AJ149" s="80"/>
      <c r="AK149" s="83" t="s">
        <v>952</v>
      </c>
      <c r="AL149" s="80" t="b">
        <v>0</v>
      </c>
      <c r="AM149" s="80">
        <v>10</v>
      </c>
      <c r="AN149" s="83" t="s">
        <v>952</v>
      </c>
      <c r="AO149" s="83" t="s">
        <v>990</v>
      </c>
      <c r="AP149" s="80" t="b">
        <v>0</v>
      </c>
      <c r="AQ149" s="83" t="s">
        <v>896</v>
      </c>
      <c r="AR149" s="80" t="s">
        <v>196</v>
      </c>
      <c r="AS149" s="80">
        <v>0</v>
      </c>
      <c r="AT149" s="80">
        <v>0</v>
      </c>
      <c r="AU149" s="80"/>
      <c r="AV149" s="80"/>
      <c r="AW149" s="80"/>
      <c r="AX149" s="80"/>
      <c r="AY149" s="80"/>
      <c r="AZ149" s="80"/>
      <c r="BA149" s="80"/>
      <c r="BB149" s="80"/>
      <c r="BC149">
        <v>3</v>
      </c>
      <c r="BD149" s="79" t="str">
        <f>REPLACE(INDEX(GroupVertices[Group],MATCH(Edges25[[#This Row],[Vertex 1]],GroupVertices[Vertex],0)),1,1,"")</f>
        <v>1</v>
      </c>
      <c r="BE149" s="79" t="str">
        <f>REPLACE(INDEX(GroupVertices[Group],MATCH(Edges25[[#This Row],[Vertex 2]],GroupVertices[Vertex],0)),1,1,"")</f>
        <v>1</v>
      </c>
      <c r="BF149" s="49"/>
      <c r="BG149" s="50"/>
      <c r="BH149" s="49"/>
      <c r="BI149" s="50"/>
      <c r="BJ149" s="49"/>
      <c r="BK149" s="50"/>
      <c r="BL149" s="49"/>
      <c r="BM149" s="50"/>
      <c r="BN149" s="49"/>
    </row>
    <row r="150" spans="1:66" ht="15">
      <c r="A150" s="65" t="s">
        <v>341</v>
      </c>
      <c r="B150" s="65" t="s">
        <v>377</v>
      </c>
      <c r="C150" s="66"/>
      <c r="D150" s="67"/>
      <c r="E150" s="66"/>
      <c r="F150" s="69"/>
      <c r="G150" s="66"/>
      <c r="H150" s="70"/>
      <c r="I150" s="71"/>
      <c r="J150" s="71"/>
      <c r="K150" s="35" t="s">
        <v>65</v>
      </c>
      <c r="L150" s="72">
        <v>342</v>
      </c>
      <c r="M150" s="72"/>
      <c r="N150" s="73"/>
      <c r="O150" s="80" t="s">
        <v>406</v>
      </c>
      <c r="P150" s="82">
        <v>44475.9591087963</v>
      </c>
      <c r="Q150" s="80" t="s">
        <v>487</v>
      </c>
      <c r="R150"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0" s="80" t="s">
        <v>535</v>
      </c>
      <c r="T150" s="80"/>
      <c r="U150" s="80"/>
      <c r="V150" s="85" t="str">
        <f>HYPERLINK("https://pbs.twimg.com/profile_images/879700936704315392/WxI5eCW5_normal.jpg")</f>
        <v>https://pbs.twimg.com/profile_images/879700936704315392/WxI5eCW5_normal.jpg</v>
      </c>
      <c r="W150" s="82">
        <v>44475.9591087963</v>
      </c>
      <c r="X150" s="87">
        <v>44475</v>
      </c>
      <c r="Y150" s="83" t="s">
        <v>711</v>
      </c>
      <c r="Z150" s="85" t="str">
        <f>HYPERLINK("https://twitter.com/economistpods/status/1445886868562796545")</f>
        <v>https://twitter.com/economistpods/status/1445886868562796545</v>
      </c>
      <c r="AA150" s="80"/>
      <c r="AB150" s="80"/>
      <c r="AC150" s="83" t="s">
        <v>897</v>
      </c>
      <c r="AD150" s="80"/>
      <c r="AE150" s="80" t="b">
        <v>0</v>
      </c>
      <c r="AF150" s="80">
        <v>0</v>
      </c>
      <c r="AG150" s="83" t="s">
        <v>952</v>
      </c>
      <c r="AH150" s="80" t="b">
        <v>0</v>
      </c>
      <c r="AI150" s="80" t="s">
        <v>967</v>
      </c>
      <c r="AJ150" s="80"/>
      <c r="AK150" s="83" t="s">
        <v>952</v>
      </c>
      <c r="AL150" s="80" t="b">
        <v>0</v>
      </c>
      <c r="AM150" s="80">
        <v>0</v>
      </c>
      <c r="AN150" s="83" t="s">
        <v>952</v>
      </c>
      <c r="AO150" s="83" t="s">
        <v>990</v>
      </c>
      <c r="AP150" s="80" t="b">
        <v>0</v>
      </c>
      <c r="AQ150" s="83" t="s">
        <v>897</v>
      </c>
      <c r="AR150" s="80" t="s">
        <v>196</v>
      </c>
      <c r="AS150" s="80">
        <v>0</v>
      </c>
      <c r="AT150" s="80">
        <v>0</v>
      </c>
      <c r="AU150" s="80"/>
      <c r="AV150" s="80"/>
      <c r="AW150" s="80"/>
      <c r="AX150" s="80"/>
      <c r="AY150" s="80"/>
      <c r="AZ150" s="80"/>
      <c r="BA150" s="80"/>
      <c r="BB150" s="80"/>
      <c r="BC150">
        <v>6</v>
      </c>
      <c r="BD150" s="79" t="str">
        <f>REPLACE(INDEX(GroupVertices[Group],MATCH(Edges25[[#This Row],[Vertex 1]],GroupVertices[Vertex],0)),1,1,"")</f>
        <v>1</v>
      </c>
      <c r="BE150" s="79" t="str">
        <f>REPLACE(INDEX(GroupVertices[Group],MATCH(Edges25[[#This Row],[Vertex 2]],GroupVertices[Vertex],0)),1,1,"")</f>
        <v>1</v>
      </c>
      <c r="BF150" s="49"/>
      <c r="BG150" s="50"/>
      <c r="BH150" s="49"/>
      <c r="BI150" s="50"/>
      <c r="BJ150" s="49"/>
      <c r="BK150" s="50"/>
      <c r="BL150" s="49"/>
      <c r="BM150" s="50"/>
      <c r="BN150" s="49"/>
    </row>
    <row r="151" spans="1:66" ht="15">
      <c r="A151" s="65" t="s">
        <v>341</v>
      </c>
      <c r="B151" s="65" t="s">
        <v>377</v>
      </c>
      <c r="C151" s="66"/>
      <c r="D151" s="67"/>
      <c r="E151" s="66"/>
      <c r="F151" s="69"/>
      <c r="G151" s="66"/>
      <c r="H151" s="70"/>
      <c r="I151" s="71"/>
      <c r="J151" s="71"/>
      <c r="K151" s="35" t="s">
        <v>65</v>
      </c>
      <c r="L151" s="72">
        <v>343</v>
      </c>
      <c r="M151" s="72"/>
      <c r="N151" s="73"/>
      <c r="O151" s="80" t="s">
        <v>406</v>
      </c>
      <c r="P151" s="82">
        <v>44476.959074074075</v>
      </c>
      <c r="Q151" s="80" t="s">
        <v>481</v>
      </c>
      <c r="R151"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1" s="80" t="s">
        <v>535</v>
      </c>
      <c r="T151" s="80"/>
      <c r="U151" s="80"/>
      <c r="V151" s="85" t="str">
        <f>HYPERLINK("https://pbs.twimg.com/profile_images/879700936704315392/WxI5eCW5_normal.jpg")</f>
        <v>https://pbs.twimg.com/profile_images/879700936704315392/WxI5eCW5_normal.jpg</v>
      </c>
      <c r="W151" s="82">
        <v>44476.959074074075</v>
      </c>
      <c r="X151" s="87">
        <v>44476</v>
      </c>
      <c r="Y151" s="83" t="s">
        <v>712</v>
      </c>
      <c r="Z151" s="85" t="str">
        <f>HYPERLINK("https://twitter.com/economistpods/status/1446249242553630728")</f>
        <v>https://twitter.com/economistpods/status/1446249242553630728</v>
      </c>
      <c r="AA151" s="80"/>
      <c r="AB151" s="80"/>
      <c r="AC151" s="83" t="s">
        <v>898</v>
      </c>
      <c r="AD151" s="80"/>
      <c r="AE151" s="80" t="b">
        <v>0</v>
      </c>
      <c r="AF151" s="80">
        <v>1</v>
      </c>
      <c r="AG151" s="83" t="s">
        <v>952</v>
      </c>
      <c r="AH151" s="80" t="b">
        <v>0</v>
      </c>
      <c r="AI151" s="80" t="s">
        <v>967</v>
      </c>
      <c r="AJ151" s="80"/>
      <c r="AK151" s="83" t="s">
        <v>952</v>
      </c>
      <c r="AL151" s="80" t="b">
        <v>0</v>
      </c>
      <c r="AM151" s="80">
        <v>1</v>
      </c>
      <c r="AN151" s="83" t="s">
        <v>952</v>
      </c>
      <c r="AO151" s="83" t="s">
        <v>990</v>
      </c>
      <c r="AP151" s="80" t="b">
        <v>0</v>
      </c>
      <c r="AQ151" s="83" t="s">
        <v>898</v>
      </c>
      <c r="AR151" s="80" t="s">
        <v>196</v>
      </c>
      <c r="AS151" s="80">
        <v>0</v>
      </c>
      <c r="AT151" s="80">
        <v>0</v>
      </c>
      <c r="AU151" s="80"/>
      <c r="AV151" s="80"/>
      <c r="AW151" s="80"/>
      <c r="AX151" s="80"/>
      <c r="AY151" s="80"/>
      <c r="AZ151" s="80"/>
      <c r="BA151" s="80"/>
      <c r="BB151" s="80"/>
      <c r="BC151">
        <v>6</v>
      </c>
      <c r="BD151" s="79" t="str">
        <f>REPLACE(INDEX(GroupVertices[Group],MATCH(Edges25[[#This Row],[Vertex 1]],GroupVertices[Vertex],0)),1,1,"")</f>
        <v>1</v>
      </c>
      <c r="BE151" s="79" t="str">
        <f>REPLACE(INDEX(GroupVertices[Group],MATCH(Edges25[[#This Row],[Vertex 2]],GroupVertices[Vertex],0)),1,1,"")</f>
        <v>1</v>
      </c>
      <c r="BF151" s="49"/>
      <c r="BG151" s="50"/>
      <c r="BH151" s="49"/>
      <c r="BI151" s="50"/>
      <c r="BJ151" s="49"/>
      <c r="BK151" s="50"/>
      <c r="BL151" s="49"/>
      <c r="BM151" s="50"/>
      <c r="BN151" s="49"/>
    </row>
    <row r="152" spans="1:66" ht="15">
      <c r="A152" s="65" t="s">
        <v>341</v>
      </c>
      <c r="B152" s="65" t="s">
        <v>377</v>
      </c>
      <c r="C152" s="66"/>
      <c r="D152" s="67"/>
      <c r="E152" s="66"/>
      <c r="F152" s="69"/>
      <c r="G152" s="66"/>
      <c r="H152" s="70"/>
      <c r="I152" s="71"/>
      <c r="J152" s="71"/>
      <c r="K152" s="35" t="s">
        <v>65</v>
      </c>
      <c r="L152" s="72">
        <v>344</v>
      </c>
      <c r="M152" s="72"/>
      <c r="N152" s="73"/>
      <c r="O152" s="80" t="s">
        <v>406</v>
      </c>
      <c r="P152" s="82">
        <v>44477.9590625</v>
      </c>
      <c r="Q152" s="80" t="s">
        <v>488</v>
      </c>
      <c r="R152"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2" s="80" t="s">
        <v>535</v>
      </c>
      <c r="T152" s="80"/>
      <c r="U152" s="80"/>
      <c r="V152" s="85" t="str">
        <f>HYPERLINK("https://pbs.twimg.com/profile_images/879700936704315392/WxI5eCW5_normal.jpg")</f>
        <v>https://pbs.twimg.com/profile_images/879700936704315392/WxI5eCW5_normal.jpg</v>
      </c>
      <c r="W152" s="82">
        <v>44477.9590625</v>
      </c>
      <c r="X152" s="87">
        <v>44477</v>
      </c>
      <c r="Y152" s="83" t="s">
        <v>713</v>
      </c>
      <c r="Z152" s="85" t="str">
        <f>HYPERLINK("https://twitter.com/economistpods/status/1446611629827936259")</f>
        <v>https://twitter.com/economistpods/status/1446611629827936259</v>
      </c>
      <c r="AA152" s="80"/>
      <c r="AB152" s="80"/>
      <c r="AC152" s="83" t="s">
        <v>899</v>
      </c>
      <c r="AD152" s="80"/>
      <c r="AE152" s="80" t="b">
        <v>0</v>
      </c>
      <c r="AF152" s="80">
        <v>0</v>
      </c>
      <c r="AG152" s="83" t="s">
        <v>952</v>
      </c>
      <c r="AH152" s="80" t="b">
        <v>0</v>
      </c>
      <c r="AI152" s="80" t="s">
        <v>967</v>
      </c>
      <c r="AJ152" s="80"/>
      <c r="AK152" s="83" t="s">
        <v>952</v>
      </c>
      <c r="AL152" s="80" t="b">
        <v>0</v>
      </c>
      <c r="AM152" s="80">
        <v>0</v>
      </c>
      <c r="AN152" s="83" t="s">
        <v>952</v>
      </c>
      <c r="AO152" s="83" t="s">
        <v>990</v>
      </c>
      <c r="AP152" s="80" t="b">
        <v>0</v>
      </c>
      <c r="AQ152" s="83" t="s">
        <v>899</v>
      </c>
      <c r="AR152" s="80" t="s">
        <v>196</v>
      </c>
      <c r="AS152" s="80">
        <v>0</v>
      </c>
      <c r="AT152" s="80">
        <v>0</v>
      </c>
      <c r="AU152" s="80"/>
      <c r="AV152" s="80"/>
      <c r="AW152" s="80"/>
      <c r="AX152" s="80"/>
      <c r="AY152" s="80"/>
      <c r="AZ152" s="80"/>
      <c r="BA152" s="80"/>
      <c r="BB152" s="80"/>
      <c r="BC152">
        <v>6</v>
      </c>
      <c r="BD152" s="79" t="str">
        <f>REPLACE(INDEX(GroupVertices[Group],MATCH(Edges25[[#This Row],[Vertex 1]],GroupVertices[Vertex],0)),1,1,"")</f>
        <v>1</v>
      </c>
      <c r="BE152" s="79" t="str">
        <f>REPLACE(INDEX(GroupVertices[Group],MATCH(Edges25[[#This Row],[Vertex 2]],GroupVertices[Vertex],0)),1,1,"")</f>
        <v>1</v>
      </c>
      <c r="BF152" s="49"/>
      <c r="BG152" s="50"/>
      <c r="BH152" s="49"/>
      <c r="BI152" s="50"/>
      <c r="BJ152" s="49"/>
      <c r="BK152" s="50"/>
      <c r="BL152" s="49"/>
      <c r="BM152" s="50"/>
      <c r="BN152" s="49"/>
    </row>
    <row r="153" spans="1:66" ht="15">
      <c r="A153" s="65" t="s">
        <v>341</v>
      </c>
      <c r="B153" s="65" t="s">
        <v>377</v>
      </c>
      <c r="C153" s="66"/>
      <c r="D153" s="67"/>
      <c r="E153" s="66"/>
      <c r="F153" s="69"/>
      <c r="G153" s="66"/>
      <c r="H153" s="70"/>
      <c r="I153" s="71"/>
      <c r="J153" s="71"/>
      <c r="K153" s="35" t="s">
        <v>65</v>
      </c>
      <c r="L153" s="72">
        <v>345</v>
      </c>
      <c r="M153" s="72"/>
      <c r="N153" s="73"/>
      <c r="O153" s="80" t="s">
        <v>406</v>
      </c>
      <c r="P153" s="82">
        <v>44478.9591087963</v>
      </c>
      <c r="Q153" s="80" t="s">
        <v>455</v>
      </c>
      <c r="R153"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3" s="80" t="s">
        <v>535</v>
      </c>
      <c r="T153" s="80"/>
      <c r="U153" s="80"/>
      <c r="V153" s="85" t="str">
        <f>HYPERLINK("https://pbs.twimg.com/profile_images/879700936704315392/WxI5eCW5_normal.jpg")</f>
        <v>https://pbs.twimg.com/profile_images/879700936704315392/WxI5eCW5_normal.jpg</v>
      </c>
      <c r="W153" s="82">
        <v>44478.9591087963</v>
      </c>
      <c r="X153" s="87">
        <v>44478</v>
      </c>
      <c r="Y153" s="83" t="s">
        <v>711</v>
      </c>
      <c r="Z153" s="85" t="str">
        <f>HYPERLINK("https://twitter.com/economistpods/status/1446974031413092360")</f>
        <v>https://twitter.com/economistpods/status/1446974031413092360</v>
      </c>
      <c r="AA153" s="80"/>
      <c r="AB153" s="80"/>
      <c r="AC153" s="83" t="s">
        <v>900</v>
      </c>
      <c r="AD153" s="80"/>
      <c r="AE153" s="80" t="b">
        <v>0</v>
      </c>
      <c r="AF153" s="80">
        <v>0</v>
      </c>
      <c r="AG153" s="83" t="s">
        <v>952</v>
      </c>
      <c r="AH153" s="80" t="b">
        <v>0</v>
      </c>
      <c r="AI153" s="80" t="s">
        <v>967</v>
      </c>
      <c r="AJ153" s="80"/>
      <c r="AK153" s="83" t="s">
        <v>952</v>
      </c>
      <c r="AL153" s="80" t="b">
        <v>0</v>
      </c>
      <c r="AM153" s="80">
        <v>1</v>
      </c>
      <c r="AN153" s="83" t="s">
        <v>952</v>
      </c>
      <c r="AO153" s="83" t="s">
        <v>990</v>
      </c>
      <c r="AP153" s="80" t="b">
        <v>0</v>
      </c>
      <c r="AQ153" s="83" t="s">
        <v>900</v>
      </c>
      <c r="AR153" s="80" t="s">
        <v>196</v>
      </c>
      <c r="AS153" s="80">
        <v>0</v>
      </c>
      <c r="AT153" s="80">
        <v>0</v>
      </c>
      <c r="AU153" s="80"/>
      <c r="AV153" s="80"/>
      <c r="AW153" s="80"/>
      <c r="AX153" s="80"/>
      <c r="AY153" s="80"/>
      <c r="AZ153" s="80"/>
      <c r="BA153" s="80"/>
      <c r="BB153" s="80"/>
      <c r="BC153">
        <v>6</v>
      </c>
      <c r="BD153" s="79" t="str">
        <f>REPLACE(INDEX(GroupVertices[Group],MATCH(Edges25[[#This Row],[Vertex 1]],GroupVertices[Vertex],0)),1,1,"")</f>
        <v>1</v>
      </c>
      <c r="BE153" s="79" t="str">
        <f>REPLACE(INDEX(GroupVertices[Group],MATCH(Edges25[[#This Row],[Vertex 2]],GroupVertices[Vertex],0)),1,1,"")</f>
        <v>1</v>
      </c>
      <c r="BF153" s="49"/>
      <c r="BG153" s="50"/>
      <c r="BH153" s="49"/>
      <c r="BI153" s="50"/>
      <c r="BJ153" s="49"/>
      <c r="BK153" s="50"/>
      <c r="BL153" s="49"/>
      <c r="BM153" s="50"/>
      <c r="BN153" s="49"/>
    </row>
    <row r="154" spans="1:66" ht="15">
      <c r="A154" s="65" t="s">
        <v>341</v>
      </c>
      <c r="B154" s="65" t="s">
        <v>377</v>
      </c>
      <c r="C154" s="66"/>
      <c r="D154" s="67"/>
      <c r="E154" s="66"/>
      <c r="F154" s="69"/>
      <c r="G154" s="66"/>
      <c r="H154" s="70"/>
      <c r="I154" s="71"/>
      <c r="J154" s="71"/>
      <c r="K154" s="35" t="s">
        <v>65</v>
      </c>
      <c r="L154" s="72">
        <v>346</v>
      </c>
      <c r="M154" s="72"/>
      <c r="N154" s="73"/>
      <c r="O154" s="80" t="s">
        <v>406</v>
      </c>
      <c r="P154" s="82">
        <v>44479.95909722222</v>
      </c>
      <c r="Q154" s="80" t="s">
        <v>489</v>
      </c>
      <c r="R154"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4" s="80" t="s">
        <v>535</v>
      </c>
      <c r="T154" s="80"/>
      <c r="U154" s="80"/>
      <c r="V154" s="85" t="str">
        <f>HYPERLINK("https://pbs.twimg.com/profile_images/879700936704315392/WxI5eCW5_normal.jpg")</f>
        <v>https://pbs.twimg.com/profile_images/879700936704315392/WxI5eCW5_normal.jpg</v>
      </c>
      <c r="W154" s="82">
        <v>44479.95909722222</v>
      </c>
      <c r="X154" s="87">
        <v>44479</v>
      </c>
      <c r="Y154" s="83" t="s">
        <v>714</v>
      </c>
      <c r="Z154" s="85" t="str">
        <f>HYPERLINK("https://twitter.com/economistpods/status/1447336418074931203")</f>
        <v>https://twitter.com/economistpods/status/1447336418074931203</v>
      </c>
      <c r="AA154" s="80"/>
      <c r="AB154" s="80"/>
      <c r="AC154" s="83" t="s">
        <v>901</v>
      </c>
      <c r="AD154" s="80"/>
      <c r="AE154" s="80" t="b">
        <v>0</v>
      </c>
      <c r="AF154" s="80">
        <v>0</v>
      </c>
      <c r="AG154" s="83" t="s">
        <v>952</v>
      </c>
      <c r="AH154" s="80" t="b">
        <v>0</v>
      </c>
      <c r="AI154" s="80" t="s">
        <v>967</v>
      </c>
      <c r="AJ154" s="80"/>
      <c r="AK154" s="83" t="s">
        <v>952</v>
      </c>
      <c r="AL154" s="80" t="b">
        <v>0</v>
      </c>
      <c r="AM154" s="80">
        <v>0</v>
      </c>
      <c r="AN154" s="83" t="s">
        <v>952</v>
      </c>
      <c r="AO154" s="83" t="s">
        <v>990</v>
      </c>
      <c r="AP154" s="80" t="b">
        <v>0</v>
      </c>
      <c r="AQ154" s="83" t="s">
        <v>901</v>
      </c>
      <c r="AR154" s="80" t="s">
        <v>196</v>
      </c>
      <c r="AS154" s="80">
        <v>0</v>
      </c>
      <c r="AT154" s="80">
        <v>0</v>
      </c>
      <c r="AU154" s="80"/>
      <c r="AV154" s="80"/>
      <c r="AW154" s="80"/>
      <c r="AX154" s="80"/>
      <c r="AY154" s="80"/>
      <c r="AZ154" s="80"/>
      <c r="BA154" s="80"/>
      <c r="BB154" s="80"/>
      <c r="BC154">
        <v>6</v>
      </c>
      <c r="BD154" s="79" t="str">
        <f>REPLACE(INDEX(GroupVertices[Group],MATCH(Edges25[[#This Row],[Vertex 1]],GroupVertices[Vertex],0)),1,1,"")</f>
        <v>1</v>
      </c>
      <c r="BE154" s="79" t="str">
        <f>REPLACE(INDEX(GroupVertices[Group],MATCH(Edges25[[#This Row],[Vertex 2]],GroupVertices[Vertex],0)),1,1,"")</f>
        <v>1</v>
      </c>
      <c r="BF154" s="49"/>
      <c r="BG154" s="50"/>
      <c r="BH154" s="49"/>
      <c r="BI154" s="50"/>
      <c r="BJ154" s="49"/>
      <c r="BK154" s="50"/>
      <c r="BL154" s="49"/>
      <c r="BM154" s="50"/>
      <c r="BN154" s="49"/>
    </row>
    <row r="155" spans="1:66" ht="15">
      <c r="A155" s="65" t="s">
        <v>341</v>
      </c>
      <c r="B155" s="65" t="s">
        <v>377</v>
      </c>
      <c r="C155" s="66"/>
      <c r="D155" s="67"/>
      <c r="E155" s="66"/>
      <c r="F155" s="69"/>
      <c r="G155" s="66"/>
      <c r="H155" s="70"/>
      <c r="I155" s="71"/>
      <c r="J155" s="71"/>
      <c r="K155" s="35" t="s">
        <v>65</v>
      </c>
      <c r="L155" s="72">
        <v>347</v>
      </c>
      <c r="M155" s="72"/>
      <c r="N155" s="73"/>
      <c r="O155" s="80" t="s">
        <v>406</v>
      </c>
      <c r="P155" s="82">
        <v>44480.959085648145</v>
      </c>
      <c r="Q155" s="80" t="s">
        <v>490</v>
      </c>
      <c r="R155" s="85" t="str">
        <f>HYPERLINK("https://www.economist.com/podcasts/2021/10/05/a-new-anthropocene-diet-the-future-of-food?utm_campaign=editorial-social&amp;utm_medium=social-organic&amp;utm_source=twitter")</f>
        <v>https://www.economist.com/podcasts/2021/10/05/a-new-anthropocene-diet-the-future-of-food?utm_campaign=editorial-social&amp;utm_medium=social-organic&amp;utm_source=twitter</v>
      </c>
      <c r="S155" s="80" t="s">
        <v>535</v>
      </c>
      <c r="T155" s="80"/>
      <c r="U155" s="80"/>
      <c r="V155" s="85" t="str">
        <f>HYPERLINK("https://pbs.twimg.com/profile_images/879700936704315392/WxI5eCW5_normal.jpg")</f>
        <v>https://pbs.twimg.com/profile_images/879700936704315392/WxI5eCW5_normal.jpg</v>
      </c>
      <c r="W155" s="82">
        <v>44480.959085648145</v>
      </c>
      <c r="X155" s="87">
        <v>44480</v>
      </c>
      <c r="Y155" s="83" t="s">
        <v>715</v>
      </c>
      <c r="Z155" s="85" t="str">
        <f>HYPERLINK("https://twitter.com/economistpods/status/1447698798541688836")</f>
        <v>https://twitter.com/economistpods/status/1447698798541688836</v>
      </c>
      <c r="AA155" s="80"/>
      <c r="AB155" s="80"/>
      <c r="AC155" s="83" t="s">
        <v>902</v>
      </c>
      <c r="AD155" s="80"/>
      <c r="AE155" s="80" t="b">
        <v>0</v>
      </c>
      <c r="AF155" s="80">
        <v>0</v>
      </c>
      <c r="AG155" s="83" t="s">
        <v>952</v>
      </c>
      <c r="AH155" s="80" t="b">
        <v>0</v>
      </c>
      <c r="AI155" s="80" t="s">
        <v>967</v>
      </c>
      <c r="AJ155" s="80"/>
      <c r="AK155" s="83" t="s">
        <v>952</v>
      </c>
      <c r="AL155" s="80" t="b">
        <v>0</v>
      </c>
      <c r="AM155" s="80">
        <v>0</v>
      </c>
      <c r="AN155" s="83" t="s">
        <v>952</v>
      </c>
      <c r="AO155" s="83" t="s">
        <v>990</v>
      </c>
      <c r="AP155" s="80" t="b">
        <v>0</v>
      </c>
      <c r="AQ155" s="83" t="s">
        <v>902</v>
      </c>
      <c r="AR155" s="80" t="s">
        <v>196</v>
      </c>
      <c r="AS155" s="80">
        <v>0</v>
      </c>
      <c r="AT155" s="80">
        <v>0</v>
      </c>
      <c r="AU155" s="80"/>
      <c r="AV155" s="80"/>
      <c r="AW155" s="80"/>
      <c r="AX155" s="80"/>
      <c r="AY155" s="80"/>
      <c r="AZ155" s="80"/>
      <c r="BA155" s="80"/>
      <c r="BB155" s="80"/>
      <c r="BC155">
        <v>6</v>
      </c>
      <c r="BD155" s="79" t="str">
        <f>REPLACE(INDEX(GroupVertices[Group],MATCH(Edges25[[#This Row],[Vertex 1]],GroupVertices[Vertex],0)),1,1,"")</f>
        <v>1</v>
      </c>
      <c r="BE155" s="79" t="str">
        <f>REPLACE(INDEX(GroupVertices[Group],MATCH(Edges25[[#This Row],[Vertex 2]],GroupVertices[Vertex],0)),1,1,"")</f>
        <v>1</v>
      </c>
      <c r="BF155" s="49"/>
      <c r="BG155" s="50"/>
      <c r="BH155" s="49"/>
      <c r="BI155" s="50"/>
      <c r="BJ155" s="49"/>
      <c r="BK155" s="50"/>
      <c r="BL155" s="49"/>
      <c r="BM155" s="50"/>
      <c r="BN155" s="49"/>
    </row>
    <row r="156" spans="1:66" ht="15">
      <c r="A156" s="65" t="s">
        <v>343</v>
      </c>
      <c r="B156" s="65" t="s">
        <v>343</v>
      </c>
      <c r="C156" s="66"/>
      <c r="D156" s="67"/>
      <c r="E156" s="66"/>
      <c r="F156" s="69"/>
      <c r="G156" s="66"/>
      <c r="H156" s="70"/>
      <c r="I156" s="71"/>
      <c r="J156" s="71"/>
      <c r="K156" s="35" t="s">
        <v>65</v>
      </c>
      <c r="L156" s="72">
        <v>369</v>
      </c>
      <c r="M156" s="72"/>
      <c r="N156" s="73"/>
      <c r="O156" s="80" t="s">
        <v>196</v>
      </c>
      <c r="P156" s="82">
        <v>44481.167037037034</v>
      </c>
      <c r="Q156" s="80" t="s">
        <v>491</v>
      </c>
      <c r="R156" s="85" t="str">
        <f>HYPERLINK("https://www.wired.co.uk/article/meat-carbon-footprint-animals")</f>
        <v>https://www.wired.co.uk/article/meat-carbon-footprint-animals</v>
      </c>
      <c r="S156" s="80" t="s">
        <v>542</v>
      </c>
      <c r="T156" s="83" t="s">
        <v>561</v>
      </c>
      <c r="U156" s="80"/>
      <c r="V156" s="85" t="str">
        <f>HYPERLINK("https://pbs.twimg.com/profile_images/842734129359679488/t5zxgDx8_normal.jpg")</f>
        <v>https://pbs.twimg.com/profile_images/842734129359679488/t5zxgDx8_normal.jpg</v>
      </c>
      <c r="W156" s="82">
        <v>44481.167037037034</v>
      </c>
      <c r="X156" s="87">
        <v>44481</v>
      </c>
      <c r="Y156" s="83" t="s">
        <v>716</v>
      </c>
      <c r="Z156" s="85" t="str">
        <f>HYPERLINK("https://twitter.com/leongreyco/status/1447774158537039872")</f>
        <v>https://twitter.com/leongreyco/status/1447774158537039872</v>
      </c>
      <c r="AA156" s="80"/>
      <c r="AB156" s="80"/>
      <c r="AC156" s="83" t="s">
        <v>903</v>
      </c>
      <c r="AD156" s="80"/>
      <c r="AE156" s="80" t="b">
        <v>0</v>
      </c>
      <c r="AF156" s="80">
        <v>0</v>
      </c>
      <c r="AG156" s="83" t="s">
        <v>952</v>
      </c>
      <c r="AH156" s="80" t="b">
        <v>0</v>
      </c>
      <c r="AI156" s="80" t="s">
        <v>967</v>
      </c>
      <c r="AJ156" s="80"/>
      <c r="AK156" s="83" t="s">
        <v>952</v>
      </c>
      <c r="AL156" s="80" t="b">
        <v>0</v>
      </c>
      <c r="AM156" s="80">
        <v>0</v>
      </c>
      <c r="AN156" s="83" t="s">
        <v>952</v>
      </c>
      <c r="AO156" s="83" t="s">
        <v>974</v>
      </c>
      <c r="AP156" s="80" t="b">
        <v>0</v>
      </c>
      <c r="AQ156" s="83" t="s">
        <v>903</v>
      </c>
      <c r="AR156" s="80" t="s">
        <v>196</v>
      </c>
      <c r="AS156" s="80">
        <v>0</v>
      </c>
      <c r="AT156" s="80">
        <v>0</v>
      </c>
      <c r="AU156" s="80"/>
      <c r="AV156" s="80"/>
      <c r="AW156" s="80"/>
      <c r="AX156" s="80"/>
      <c r="AY156" s="80"/>
      <c r="AZ156" s="80"/>
      <c r="BA156" s="80"/>
      <c r="BB156" s="80"/>
      <c r="BC156">
        <v>1</v>
      </c>
      <c r="BD156" s="79" t="str">
        <f>REPLACE(INDEX(GroupVertices[Group],MATCH(Edges25[[#This Row],[Vertex 1]],GroupVertices[Vertex],0)),1,1,"")</f>
        <v>2</v>
      </c>
      <c r="BE156" s="79" t="str">
        <f>REPLACE(INDEX(GroupVertices[Group],MATCH(Edges25[[#This Row],[Vertex 2]],GroupVertices[Vertex],0)),1,1,"")</f>
        <v>2</v>
      </c>
      <c r="BF156" s="49">
        <v>0</v>
      </c>
      <c r="BG156" s="50">
        <v>0</v>
      </c>
      <c r="BH156" s="49">
        <v>1</v>
      </c>
      <c r="BI156" s="50">
        <v>5.555555555555555</v>
      </c>
      <c r="BJ156" s="49">
        <v>0</v>
      </c>
      <c r="BK156" s="50">
        <v>0</v>
      </c>
      <c r="BL156" s="49">
        <v>17</v>
      </c>
      <c r="BM156" s="50">
        <v>94.44444444444444</v>
      </c>
      <c r="BN156" s="49">
        <v>18</v>
      </c>
    </row>
    <row r="157" spans="1:66" ht="15">
      <c r="A157" s="65" t="s">
        <v>344</v>
      </c>
      <c r="B157" s="65" t="s">
        <v>353</v>
      </c>
      <c r="C157" s="66"/>
      <c r="D157" s="67"/>
      <c r="E157" s="66"/>
      <c r="F157" s="69"/>
      <c r="G157" s="66"/>
      <c r="H157" s="70"/>
      <c r="I157" s="71"/>
      <c r="J157" s="71"/>
      <c r="K157" s="35" t="s">
        <v>65</v>
      </c>
      <c r="L157" s="72">
        <v>370</v>
      </c>
      <c r="M157" s="72"/>
      <c r="N157" s="73"/>
      <c r="O157" s="80" t="s">
        <v>408</v>
      </c>
      <c r="P157" s="82">
        <v>44481.20359953704</v>
      </c>
      <c r="Q157" s="80" t="s">
        <v>492</v>
      </c>
      <c r="R157" s="85" t="str">
        <f>HYPERLINK("https://www.greenqueen.com.hk/animal-alternative-technologies-renaissance-farm-cell-based-meat/?utm_content=bufferec53f&amp;utm_medium=social&amp;utm_source=twitter.com&amp;utm_campaign=buffer")</f>
        <v>https://www.greenqueen.com.hk/animal-alternative-technologies-renaissance-farm-cell-based-meat/?utm_content=bufferec53f&amp;utm_medium=social&amp;utm_source=twitter.com&amp;utm_campaign=buffer</v>
      </c>
      <c r="S157" s="80" t="s">
        <v>525</v>
      </c>
      <c r="T157" s="80"/>
      <c r="U157" s="80"/>
      <c r="V157" s="85" t="str">
        <f>HYPERLINK("https://pbs.twimg.com/profile_images/1290760502059048960/2-vVagmU_normal.jpg")</f>
        <v>https://pbs.twimg.com/profile_images/1290760502059048960/2-vVagmU_normal.jpg</v>
      </c>
      <c r="W157" s="82">
        <v>44481.20359953704</v>
      </c>
      <c r="X157" s="87">
        <v>44481</v>
      </c>
      <c r="Y157" s="83" t="s">
        <v>717</v>
      </c>
      <c r="Z157" s="85" t="str">
        <f>HYPERLINK("https://twitter.com/davehansford4/status/1447787407684763651")</f>
        <v>https://twitter.com/davehansford4/status/1447787407684763651</v>
      </c>
      <c r="AA157" s="80"/>
      <c r="AB157" s="80"/>
      <c r="AC157" s="83" t="s">
        <v>904</v>
      </c>
      <c r="AD157" s="80"/>
      <c r="AE157" s="80" t="b">
        <v>0</v>
      </c>
      <c r="AF157" s="80">
        <v>0</v>
      </c>
      <c r="AG157" s="83" t="s">
        <v>952</v>
      </c>
      <c r="AH157" s="80" t="b">
        <v>0</v>
      </c>
      <c r="AI157" s="80" t="s">
        <v>967</v>
      </c>
      <c r="AJ157" s="80"/>
      <c r="AK157" s="83" t="s">
        <v>952</v>
      </c>
      <c r="AL157" s="80" t="b">
        <v>0</v>
      </c>
      <c r="AM157" s="80">
        <v>2</v>
      </c>
      <c r="AN157" s="83" t="s">
        <v>919</v>
      </c>
      <c r="AO157" s="83" t="s">
        <v>982</v>
      </c>
      <c r="AP157" s="80" t="b">
        <v>0</v>
      </c>
      <c r="AQ157" s="83" t="s">
        <v>919</v>
      </c>
      <c r="AR157" s="80" t="s">
        <v>196</v>
      </c>
      <c r="AS157" s="80">
        <v>0</v>
      </c>
      <c r="AT157" s="80">
        <v>0</v>
      </c>
      <c r="AU157" s="80"/>
      <c r="AV157" s="80"/>
      <c r="AW157" s="80"/>
      <c r="AX157" s="80"/>
      <c r="AY157" s="80"/>
      <c r="AZ157" s="80"/>
      <c r="BA157" s="80"/>
      <c r="BB157" s="80"/>
      <c r="BC157">
        <v>1</v>
      </c>
      <c r="BD157" s="79" t="str">
        <f>REPLACE(INDEX(GroupVertices[Group],MATCH(Edges25[[#This Row],[Vertex 1]],GroupVertices[Vertex],0)),1,1,"")</f>
        <v>3</v>
      </c>
      <c r="BE157" s="79" t="str">
        <f>REPLACE(INDEX(GroupVertices[Group],MATCH(Edges25[[#This Row],[Vertex 2]],GroupVertices[Vertex],0)),1,1,"")</f>
        <v>3</v>
      </c>
      <c r="BF157" s="49">
        <v>2</v>
      </c>
      <c r="BG157" s="50">
        <v>5.405405405405405</v>
      </c>
      <c r="BH157" s="49">
        <v>0</v>
      </c>
      <c r="BI157" s="50">
        <v>0</v>
      </c>
      <c r="BJ157" s="49">
        <v>0</v>
      </c>
      <c r="BK157" s="50">
        <v>0</v>
      </c>
      <c r="BL157" s="49">
        <v>35</v>
      </c>
      <c r="BM157" s="50">
        <v>94.5945945945946</v>
      </c>
      <c r="BN157" s="49">
        <v>37</v>
      </c>
    </row>
    <row r="158" spans="1:66" ht="15">
      <c r="A158" s="65" t="s">
        <v>345</v>
      </c>
      <c r="B158" s="65" t="s">
        <v>397</v>
      </c>
      <c r="C158" s="66"/>
      <c r="D158" s="67"/>
      <c r="E158" s="66"/>
      <c r="F158" s="69"/>
      <c r="G158" s="66"/>
      <c r="H158" s="70"/>
      <c r="I158" s="71"/>
      <c r="J158" s="71"/>
      <c r="K158" s="35" t="s">
        <v>65</v>
      </c>
      <c r="L158" s="72">
        <v>371</v>
      </c>
      <c r="M158" s="72"/>
      <c r="N158" s="73"/>
      <c r="O158" s="80" t="s">
        <v>406</v>
      </c>
      <c r="P158" s="82">
        <v>44481.397777777776</v>
      </c>
      <c r="Q158" s="80" t="s">
        <v>493</v>
      </c>
      <c r="R158" s="80"/>
      <c r="S158" s="80"/>
      <c r="T158" s="80"/>
      <c r="U158" s="80"/>
      <c r="V158" s="85" t="str">
        <f>HYPERLINK("https://pbs.twimg.com/profile_images/1336916721060417537/gYRNf3h-_normal.jpg")</f>
        <v>https://pbs.twimg.com/profile_images/1336916721060417537/gYRNf3h-_normal.jpg</v>
      </c>
      <c r="W158" s="82">
        <v>44481.397777777776</v>
      </c>
      <c r="X158" s="87">
        <v>44481</v>
      </c>
      <c r="Y158" s="83" t="s">
        <v>718</v>
      </c>
      <c r="Z158" s="85" t="str">
        <f>HYPERLINK("https://twitter.com/sethduma/status/1447857778102607875")</f>
        <v>https://twitter.com/sethduma/status/1447857778102607875</v>
      </c>
      <c r="AA158" s="80"/>
      <c r="AB158" s="80"/>
      <c r="AC158" s="83" t="s">
        <v>905</v>
      </c>
      <c r="AD158" s="83" t="s">
        <v>947</v>
      </c>
      <c r="AE158" s="80" t="b">
        <v>0</v>
      </c>
      <c r="AF158" s="80">
        <v>4</v>
      </c>
      <c r="AG158" s="83" t="s">
        <v>963</v>
      </c>
      <c r="AH158" s="80" t="b">
        <v>0</v>
      </c>
      <c r="AI158" s="80" t="s">
        <v>967</v>
      </c>
      <c r="AJ158" s="80"/>
      <c r="AK158" s="83" t="s">
        <v>952</v>
      </c>
      <c r="AL158" s="80" t="b">
        <v>0</v>
      </c>
      <c r="AM158" s="80">
        <v>0</v>
      </c>
      <c r="AN158" s="83" t="s">
        <v>952</v>
      </c>
      <c r="AO158" s="83" t="s">
        <v>976</v>
      </c>
      <c r="AP158" s="80" t="b">
        <v>0</v>
      </c>
      <c r="AQ158" s="83" t="s">
        <v>947</v>
      </c>
      <c r="AR158" s="80" t="s">
        <v>196</v>
      </c>
      <c r="AS158" s="80">
        <v>0</v>
      </c>
      <c r="AT158" s="80">
        <v>0</v>
      </c>
      <c r="AU158" s="80"/>
      <c r="AV158" s="80"/>
      <c r="AW158" s="80"/>
      <c r="AX158" s="80"/>
      <c r="AY158" s="80"/>
      <c r="AZ158" s="80"/>
      <c r="BA158" s="80"/>
      <c r="BB158" s="80"/>
      <c r="BC158">
        <v>1</v>
      </c>
      <c r="BD158" s="79" t="str">
        <f>REPLACE(INDEX(GroupVertices[Group],MATCH(Edges25[[#This Row],[Vertex 1]],GroupVertices[Vertex],0)),1,1,"")</f>
        <v>11</v>
      </c>
      <c r="BE158" s="79" t="str">
        <f>REPLACE(INDEX(GroupVertices[Group],MATCH(Edges25[[#This Row],[Vertex 2]],GroupVertices[Vertex],0)),1,1,"")</f>
        <v>11</v>
      </c>
      <c r="BF158" s="49"/>
      <c r="BG158" s="50"/>
      <c r="BH158" s="49"/>
      <c r="BI158" s="50"/>
      <c r="BJ158" s="49"/>
      <c r="BK158" s="50"/>
      <c r="BL158" s="49"/>
      <c r="BM158" s="50"/>
      <c r="BN158" s="49"/>
    </row>
    <row r="159" spans="1:66" ht="15">
      <c r="A159" s="65" t="s">
        <v>346</v>
      </c>
      <c r="B159" s="65" t="s">
        <v>346</v>
      </c>
      <c r="C159" s="66"/>
      <c r="D159" s="67"/>
      <c r="E159" s="66"/>
      <c r="F159" s="69"/>
      <c r="G159" s="66"/>
      <c r="H159" s="70"/>
      <c r="I159" s="71"/>
      <c r="J159" s="71"/>
      <c r="K159" s="35" t="s">
        <v>65</v>
      </c>
      <c r="L159" s="72">
        <v>375</v>
      </c>
      <c r="M159" s="72"/>
      <c r="N159" s="73"/>
      <c r="O159" s="80" t="s">
        <v>196</v>
      </c>
      <c r="P159" s="82">
        <v>44475.68188657407</v>
      </c>
      <c r="Q159" s="83" t="s">
        <v>428</v>
      </c>
      <c r="R159" s="85" t="str">
        <f>HYPERLINK("https://www.greenqueen.com.hk/amp/cell-based-meat-economy-boost/")</f>
        <v>https://www.greenqueen.com.hk/amp/cell-based-meat-economy-boost/</v>
      </c>
      <c r="S159" s="80" t="s">
        <v>525</v>
      </c>
      <c r="T159" s="83" t="s">
        <v>552</v>
      </c>
      <c r="U159" s="80"/>
      <c r="V159" s="85" t="str">
        <f>HYPERLINK("https://pbs.twimg.com/profile_images/1027550970333614080/c2BHjENS_normal.jpg")</f>
        <v>https://pbs.twimg.com/profile_images/1027550970333614080/c2BHjENS_normal.jpg</v>
      </c>
      <c r="W159" s="82">
        <v>44475.68188657407</v>
      </c>
      <c r="X159" s="87">
        <v>44475</v>
      </c>
      <c r="Y159" s="83" t="s">
        <v>719</v>
      </c>
      <c r="Z159" s="85" t="str">
        <f>HYPERLINK("https://twitter.com/roslintech/status/1445786407209893895")</f>
        <v>https://twitter.com/roslintech/status/1445786407209893895</v>
      </c>
      <c r="AA159" s="80"/>
      <c r="AB159" s="80"/>
      <c r="AC159" s="83" t="s">
        <v>906</v>
      </c>
      <c r="AD159" s="80"/>
      <c r="AE159" s="80" t="b">
        <v>0</v>
      </c>
      <c r="AF159" s="80">
        <v>1</v>
      </c>
      <c r="AG159" s="83" t="s">
        <v>952</v>
      </c>
      <c r="AH159" s="80" t="b">
        <v>0</v>
      </c>
      <c r="AI159" s="80" t="s">
        <v>967</v>
      </c>
      <c r="AJ159" s="80"/>
      <c r="AK159" s="83" t="s">
        <v>952</v>
      </c>
      <c r="AL159" s="80" t="b">
        <v>0</v>
      </c>
      <c r="AM159" s="80">
        <v>2</v>
      </c>
      <c r="AN159" s="83" t="s">
        <v>952</v>
      </c>
      <c r="AO159" s="83" t="s">
        <v>972</v>
      </c>
      <c r="AP159" s="80" t="b">
        <v>0</v>
      </c>
      <c r="AQ159" s="83" t="s">
        <v>906</v>
      </c>
      <c r="AR159" s="80" t="s">
        <v>196</v>
      </c>
      <c r="AS159" s="80">
        <v>0</v>
      </c>
      <c r="AT159" s="80">
        <v>0</v>
      </c>
      <c r="AU159" s="80"/>
      <c r="AV159" s="80"/>
      <c r="AW159" s="80"/>
      <c r="AX159" s="80"/>
      <c r="AY159" s="80"/>
      <c r="AZ159" s="80"/>
      <c r="BA159" s="80"/>
      <c r="BB159" s="80"/>
      <c r="BC159">
        <v>1</v>
      </c>
      <c r="BD159" s="79" t="str">
        <f>REPLACE(INDEX(GroupVertices[Group],MATCH(Edges25[[#This Row],[Vertex 1]],GroupVertices[Vertex],0)),1,1,"")</f>
        <v>3</v>
      </c>
      <c r="BE159" s="79" t="str">
        <f>REPLACE(INDEX(GroupVertices[Group],MATCH(Edges25[[#This Row],[Vertex 2]],GroupVertices[Vertex],0)),1,1,"")</f>
        <v>3</v>
      </c>
      <c r="BF159" s="49">
        <v>0</v>
      </c>
      <c r="BG159" s="50">
        <v>0</v>
      </c>
      <c r="BH159" s="49">
        <v>0</v>
      </c>
      <c r="BI159" s="50">
        <v>0</v>
      </c>
      <c r="BJ159" s="49">
        <v>0</v>
      </c>
      <c r="BK159" s="50">
        <v>0</v>
      </c>
      <c r="BL159" s="49">
        <v>38</v>
      </c>
      <c r="BM159" s="50">
        <v>100</v>
      </c>
      <c r="BN159" s="49">
        <v>38</v>
      </c>
    </row>
    <row r="160" spans="1:66" ht="15">
      <c r="A160" s="65" t="s">
        <v>347</v>
      </c>
      <c r="B160" s="65" t="s">
        <v>346</v>
      </c>
      <c r="C160" s="66"/>
      <c r="D160" s="67"/>
      <c r="E160" s="66"/>
      <c r="F160" s="69"/>
      <c r="G160" s="66"/>
      <c r="H160" s="70"/>
      <c r="I160" s="71"/>
      <c r="J160" s="71"/>
      <c r="K160" s="35" t="s">
        <v>65</v>
      </c>
      <c r="L160" s="72">
        <v>376</v>
      </c>
      <c r="M160" s="72"/>
      <c r="N160" s="73"/>
      <c r="O160" s="80" t="s">
        <v>408</v>
      </c>
      <c r="P160" s="82">
        <v>44475.702060185184</v>
      </c>
      <c r="Q160" s="83" t="s">
        <v>428</v>
      </c>
      <c r="R160" s="85" t="str">
        <f>HYPERLINK("https://www.greenqueen.com.hk/amp/cell-based-meat-economy-boost/")</f>
        <v>https://www.greenqueen.com.hk/amp/cell-based-meat-economy-boost/</v>
      </c>
      <c r="S160" s="80" t="s">
        <v>525</v>
      </c>
      <c r="T160" s="83" t="s">
        <v>552</v>
      </c>
      <c r="U160" s="80"/>
      <c r="V160" s="85" t="str">
        <f>HYPERLINK("https://pbs.twimg.com/profile_images/1207023594204741634/oNEPNuoG_normal.jpg")</f>
        <v>https://pbs.twimg.com/profile_images/1207023594204741634/oNEPNuoG_normal.jpg</v>
      </c>
      <c r="W160" s="82">
        <v>44475.702060185184</v>
      </c>
      <c r="X160" s="87">
        <v>44475</v>
      </c>
      <c r="Y160" s="83" t="s">
        <v>720</v>
      </c>
      <c r="Z160" s="85" t="str">
        <f>HYPERLINK("https://twitter.com/craftmeati/status/1445793717378592773")</f>
        <v>https://twitter.com/craftmeati/status/1445793717378592773</v>
      </c>
      <c r="AA160" s="80"/>
      <c r="AB160" s="80"/>
      <c r="AC160" s="83" t="s">
        <v>907</v>
      </c>
      <c r="AD160" s="80"/>
      <c r="AE160" s="80" t="b">
        <v>0</v>
      </c>
      <c r="AF160" s="80">
        <v>0</v>
      </c>
      <c r="AG160" s="83" t="s">
        <v>952</v>
      </c>
      <c r="AH160" s="80" t="b">
        <v>0</v>
      </c>
      <c r="AI160" s="80" t="s">
        <v>967</v>
      </c>
      <c r="AJ160" s="80"/>
      <c r="AK160" s="83" t="s">
        <v>952</v>
      </c>
      <c r="AL160" s="80" t="b">
        <v>0</v>
      </c>
      <c r="AM160" s="80">
        <v>2</v>
      </c>
      <c r="AN160" s="83" t="s">
        <v>906</v>
      </c>
      <c r="AO160" s="83" t="s">
        <v>972</v>
      </c>
      <c r="AP160" s="80" t="b">
        <v>0</v>
      </c>
      <c r="AQ160" s="83" t="s">
        <v>906</v>
      </c>
      <c r="AR160" s="80" t="s">
        <v>196</v>
      </c>
      <c r="AS160" s="80">
        <v>0</v>
      </c>
      <c r="AT160" s="80">
        <v>0</v>
      </c>
      <c r="AU160" s="80"/>
      <c r="AV160" s="80"/>
      <c r="AW160" s="80"/>
      <c r="AX160" s="80"/>
      <c r="AY160" s="80"/>
      <c r="AZ160" s="80"/>
      <c r="BA160" s="80"/>
      <c r="BB160" s="80"/>
      <c r="BC160">
        <v>1</v>
      </c>
      <c r="BD160" s="79" t="str">
        <f>REPLACE(INDEX(GroupVertices[Group],MATCH(Edges25[[#This Row],[Vertex 1]],GroupVertices[Vertex],0)),1,1,"")</f>
        <v>3</v>
      </c>
      <c r="BE160" s="79" t="str">
        <f>REPLACE(INDEX(GroupVertices[Group],MATCH(Edges25[[#This Row],[Vertex 2]],GroupVertices[Vertex],0)),1,1,"")</f>
        <v>3</v>
      </c>
      <c r="BF160" s="49">
        <v>0</v>
      </c>
      <c r="BG160" s="50">
        <v>0</v>
      </c>
      <c r="BH160" s="49">
        <v>0</v>
      </c>
      <c r="BI160" s="50">
        <v>0</v>
      </c>
      <c r="BJ160" s="49">
        <v>0</v>
      </c>
      <c r="BK160" s="50">
        <v>0</v>
      </c>
      <c r="BL160" s="49">
        <v>38</v>
      </c>
      <c r="BM160" s="50">
        <v>100</v>
      </c>
      <c r="BN160" s="49">
        <v>38</v>
      </c>
    </row>
    <row r="161" spans="1:66" ht="15">
      <c r="A161" s="65" t="s">
        <v>348</v>
      </c>
      <c r="B161" s="65" t="s">
        <v>401</v>
      </c>
      <c r="C161" s="66"/>
      <c r="D161" s="67"/>
      <c r="E161" s="66"/>
      <c r="F161" s="69"/>
      <c r="G161" s="66"/>
      <c r="H161" s="70"/>
      <c r="I161" s="71"/>
      <c r="J161" s="71"/>
      <c r="K161" s="35" t="s">
        <v>65</v>
      </c>
      <c r="L161" s="72">
        <v>377</v>
      </c>
      <c r="M161" s="72"/>
      <c r="N161" s="73"/>
      <c r="O161" s="80" t="s">
        <v>406</v>
      </c>
      <c r="P161" s="82">
        <v>44475.568194444444</v>
      </c>
      <c r="Q161" s="80" t="s">
        <v>494</v>
      </c>
      <c r="R161" s="85" t="str">
        <f>HYPERLINK("https://www.economist.com/podcasts/2021/10/05/a-new-anthropocene-diet-the-future-of-food")</f>
        <v>https://www.economist.com/podcasts/2021/10/05/a-new-anthropocene-diet-the-future-of-food</v>
      </c>
      <c r="S161" s="80" t="s">
        <v>535</v>
      </c>
      <c r="T161" s="80"/>
      <c r="U161" s="80"/>
      <c r="V161" s="85" t="str">
        <f>HYPERLINK("https://pbs.twimg.com/profile_images/1327714956779925505/ZvDQjsvd_normal.jpg")</f>
        <v>https://pbs.twimg.com/profile_images/1327714956779925505/ZvDQjsvd_normal.jpg</v>
      </c>
      <c r="W161" s="82">
        <v>44475.568194444444</v>
      </c>
      <c r="X161" s="87">
        <v>44475</v>
      </c>
      <c r="Y161" s="83" t="s">
        <v>721</v>
      </c>
      <c r="Z161" s="85" t="str">
        <f>HYPERLINK("https://twitter.com/helikonc/status/1445745204279922691")</f>
        <v>https://twitter.com/helikonc/status/1445745204279922691</v>
      </c>
      <c r="AA161" s="80"/>
      <c r="AB161" s="80"/>
      <c r="AC161" s="83" t="s">
        <v>908</v>
      </c>
      <c r="AD161" s="80"/>
      <c r="AE161" s="80" t="b">
        <v>0</v>
      </c>
      <c r="AF161" s="80">
        <v>5</v>
      </c>
      <c r="AG161" s="83" t="s">
        <v>952</v>
      </c>
      <c r="AH161" s="80" t="b">
        <v>0</v>
      </c>
      <c r="AI161" s="80" t="s">
        <v>967</v>
      </c>
      <c r="AJ161" s="80"/>
      <c r="AK161" s="83" t="s">
        <v>952</v>
      </c>
      <c r="AL161" s="80" t="b">
        <v>0</v>
      </c>
      <c r="AM161" s="80">
        <v>1</v>
      </c>
      <c r="AN161" s="83" t="s">
        <v>952</v>
      </c>
      <c r="AO161" s="83" t="s">
        <v>972</v>
      </c>
      <c r="AP161" s="80" t="b">
        <v>0</v>
      </c>
      <c r="AQ161" s="83" t="s">
        <v>908</v>
      </c>
      <c r="AR161" s="80" t="s">
        <v>196</v>
      </c>
      <c r="AS161" s="80">
        <v>0</v>
      </c>
      <c r="AT161" s="80">
        <v>0</v>
      </c>
      <c r="AU161" s="80"/>
      <c r="AV161" s="80"/>
      <c r="AW161" s="80"/>
      <c r="AX161" s="80"/>
      <c r="AY161" s="80"/>
      <c r="AZ161" s="80"/>
      <c r="BA161" s="80"/>
      <c r="BB161" s="80"/>
      <c r="BC161">
        <v>1</v>
      </c>
      <c r="BD161" s="79" t="str">
        <f>REPLACE(INDEX(GroupVertices[Group],MATCH(Edges25[[#This Row],[Vertex 1]],GroupVertices[Vertex],0)),1,1,"")</f>
        <v>3</v>
      </c>
      <c r="BE161" s="79" t="str">
        <f>REPLACE(INDEX(GroupVertices[Group],MATCH(Edges25[[#This Row],[Vertex 2]],GroupVertices[Vertex],0)),1,1,"")</f>
        <v>3</v>
      </c>
      <c r="BF161" s="49">
        <v>0</v>
      </c>
      <c r="BG161" s="50">
        <v>0</v>
      </c>
      <c r="BH161" s="49">
        <v>0</v>
      </c>
      <c r="BI161" s="50">
        <v>0</v>
      </c>
      <c r="BJ161" s="49">
        <v>0</v>
      </c>
      <c r="BK161" s="50">
        <v>0</v>
      </c>
      <c r="BL161" s="49">
        <v>26</v>
      </c>
      <c r="BM161" s="50">
        <v>100</v>
      </c>
      <c r="BN161" s="49">
        <v>26</v>
      </c>
    </row>
    <row r="162" spans="1:66" ht="15">
      <c r="A162" s="65" t="s">
        <v>347</v>
      </c>
      <c r="B162" s="65" t="s">
        <v>401</v>
      </c>
      <c r="C162" s="66"/>
      <c r="D162" s="67"/>
      <c r="E162" s="66"/>
      <c r="F162" s="69"/>
      <c r="G162" s="66"/>
      <c r="H162" s="70"/>
      <c r="I162" s="71"/>
      <c r="J162" s="71"/>
      <c r="K162" s="35" t="s">
        <v>65</v>
      </c>
      <c r="L162" s="72">
        <v>378</v>
      </c>
      <c r="M162" s="72"/>
      <c r="N162" s="73"/>
      <c r="O162" s="80" t="s">
        <v>407</v>
      </c>
      <c r="P162" s="82">
        <v>44476.09248842593</v>
      </c>
      <c r="Q162" s="80" t="s">
        <v>494</v>
      </c>
      <c r="R162" s="85" t="str">
        <f>HYPERLINK("https://www.economist.com/podcasts/2021/10/05/a-new-anthropocene-diet-the-future-of-food")</f>
        <v>https://www.economist.com/podcasts/2021/10/05/a-new-anthropocene-diet-the-future-of-food</v>
      </c>
      <c r="S162" s="80" t="s">
        <v>535</v>
      </c>
      <c r="T162" s="80"/>
      <c r="U162" s="80"/>
      <c r="V162" s="85" t="str">
        <f>HYPERLINK("https://pbs.twimg.com/profile_images/1207023594204741634/oNEPNuoG_normal.jpg")</f>
        <v>https://pbs.twimg.com/profile_images/1207023594204741634/oNEPNuoG_normal.jpg</v>
      </c>
      <c r="W162" s="82">
        <v>44476.09248842593</v>
      </c>
      <c r="X162" s="87">
        <v>44476</v>
      </c>
      <c r="Y162" s="83" t="s">
        <v>722</v>
      </c>
      <c r="Z162" s="85" t="str">
        <f>HYPERLINK("https://twitter.com/craftmeati/status/1445935204212817920")</f>
        <v>https://twitter.com/craftmeati/status/1445935204212817920</v>
      </c>
      <c r="AA162" s="80"/>
      <c r="AB162" s="80"/>
      <c r="AC162" s="83" t="s">
        <v>909</v>
      </c>
      <c r="AD162" s="80"/>
      <c r="AE162" s="80" t="b">
        <v>0</v>
      </c>
      <c r="AF162" s="80">
        <v>0</v>
      </c>
      <c r="AG162" s="83" t="s">
        <v>952</v>
      </c>
      <c r="AH162" s="80" t="b">
        <v>0</v>
      </c>
      <c r="AI162" s="80" t="s">
        <v>967</v>
      </c>
      <c r="AJ162" s="80"/>
      <c r="AK162" s="83" t="s">
        <v>952</v>
      </c>
      <c r="AL162" s="80" t="b">
        <v>0</v>
      </c>
      <c r="AM162" s="80">
        <v>1</v>
      </c>
      <c r="AN162" s="83" t="s">
        <v>908</v>
      </c>
      <c r="AO162" s="83" t="s">
        <v>979</v>
      </c>
      <c r="AP162" s="80" t="b">
        <v>0</v>
      </c>
      <c r="AQ162" s="83" t="s">
        <v>908</v>
      </c>
      <c r="AR162" s="80" t="s">
        <v>196</v>
      </c>
      <c r="AS162" s="80">
        <v>0</v>
      </c>
      <c r="AT162" s="80">
        <v>0</v>
      </c>
      <c r="AU162" s="80"/>
      <c r="AV162" s="80"/>
      <c r="AW162" s="80"/>
      <c r="AX162" s="80"/>
      <c r="AY162" s="80"/>
      <c r="AZ162" s="80"/>
      <c r="BA162" s="80"/>
      <c r="BB162" s="80"/>
      <c r="BC162">
        <v>1</v>
      </c>
      <c r="BD162" s="79" t="str">
        <f>REPLACE(INDEX(GroupVertices[Group],MATCH(Edges25[[#This Row],[Vertex 1]],GroupVertices[Vertex],0)),1,1,"")</f>
        <v>3</v>
      </c>
      <c r="BE162" s="79" t="str">
        <f>REPLACE(INDEX(GroupVertices[Group],MATCH(Edges25[[#This Row],[Vertex 2]],GroupVertices[Vertex],0)),1,1,"")</f>
        <v>3</v>
      </c>
      <c r="BF162" s="49">
        <v>0</v>
      </c>
      <c r="BG162" s="50">
        <v>0</v>
      </c>
      <c r="BH162" s="49">
        <v>0</v>
      </c>
      <c r="BI162" s="50">
        <v>0</v>
      </c>
      <c r="BJ162" s="49">
        <v>0</v>
      </c>
      <c r="BK162" s="50">
        <v>0</v>
      </c>
      <c r="BL162" s="49">
        <v>26</v>
      </c>
      <c r="BM162" s="50">
        <v>100</v>
      </c>
      <c r="BN162" s="49">
        <v>26</v>
      </c>
    </row>
    <row r="163" spans="1:66" ht="15">
      <c r="A163" s="65" t="s">
        <v>349</v>
      </c>
      <c r="B163" s="65" t="s">
        <v>349</v>
      </c>
      <c r="C163" s="66"/>
      <c r="D163" s="67"/>
      <c r="E163" s="66"/>
      <c r="F163" s="69"/>
      <c r="G163" s="66"/>
      <c r="H163" s="70"/>
      <c r="I163" s="71"/>
      <c r="J163" s="71"/>
      <c r="K163" s="35" t="s">
        <v>65</v>
      </c>
      <c r="L163" s="72">
        <v>382</v>
      </c>
      <c r="M163" s="72"/>
      <c r="N163" s="73"/>
      <c r="O163" s="80" t="s">
        <v>196</v>
      </c>
      <c r="P163" s="82">
        <v>44474.040185185186</v>
      </c>
      <c r="Q163" s="80" t="s">
        <v>495</v>
      </c>
      <c r="R163" s="85" t="str">
        <f>HYPERLINK("https://www.greenqueen.com.hk/hong-kong-cell-based-meat-study/")</f>
        <v>https://www.greenqueen.com.hk/hong-kong-cell-based-meat-study/</v>
      </c>
      <c r="S163" s="80" t="s">
        <v>525</v>
      </c>
      <c r="T163" s="80"/>
      <c r="U163" s="80"/>
      <c r="V163" s="85" t="str">
        <f>HYPERLINK("https://pbs.twimg.com/profile_images/1219578724317724672/Pz__yQZx_normal.jpg")</f>
        <v>https://pbs.twimg.com/profile_images/1219578724317724672/Pz__yQZx_normal.jpg</v>
      </c>
      <c r="W163" s="82">
        <v>44474.040185185186</v>
      </c>
      <c r="X163" s="87">
        <v>44474</v>
      </c>
      <c r="Y163" s="83" t="s">
        <v>723</v>
      </c>
      <c r="Z163" s="85" t="str">
        <f>HYPERLINK("https://twitter.com/greenqueenhk/status/1445191473838841862")</f>
        <v>https://twitter.com/greenqueenhk/status/1445191473838841862</v>
      </c>
      <c r="AA163" s="80"/>
      <c r="AB163" s="80"/>
      <c r="AC163" s="83" t="s">
        <v>910</v>
      </c>
      <c r="AD163" s="80"/>
      <c r="AE163" s="80" t="b">
        <v>0</v>
      </c>
      <c r="AF163" s="80">
        <v>1</v>
      </c>
      <c r="AG163" s="83" t="s">
        <v>952</v>
      </c>
      <c r="AH163" s="80" t="b">
        <v>0</v>
      </c>
      <c r="AI163" s="80" t="s">
        <v>967</v>
      </c>
      <c r="AJ163" s="80"/>
      <c r="AK163" s="83" t="s">
        <v>952</v>
      </c>
      <c r="AL163" s="80" t="b">
        <v>0</v>
      </c>
      <c r="AM163" s="80">
        <v>0</v>
      </c>
      <c r="AN163" s="83" t="s">
        <v>952</v>
      </c>
      <c r="AO163" s="83" t="s">
        <v>984</v>
      </c>
      <c r="AP163" s="80" t="b">
        <v>0</v>
      </c>
      <c r="AQ163" s="83" t="s">
        <v>910</v>
      </c>
      <c r="AR163" s="80" t="s">
        <v>196</v>
      </c>
      <c r="AS163" s="80">
        <v>0</v>
      </c>
      <c r="AT163" s="80">
        <v>0</v>
      </c>
      <c r="AU163" s="80"/>
      <c r="AV163" s="80"/>
      <c r="AW163" s="80"/>
      <c r="AX163" s="80"/>
      <c r="AY163" s="80"/>
      <c r="AZ163" s="80"/>
      <c r="BA163" s="80"/>
      <c r="BB163" s="80"/>
      <c r="BC163">
        <v>1</v>
      </c>
      <c r="BD163" s="79" t="str">
        <f>REPLACE(INDEX(GroupVertices[Group],MATCH(Edges25[[#This Row],[Vertex 1]],GroupVertices[Vertex],0)),1,1,"")</f>
        <v>3</v>
      </c>
      <c r="BE163" s="79" t="str">
        <f>REPLACE(INDEX(GroupVertices[Group],MATCH(Edges25[[#This Row],[Vertex 2]],GroupVertices[Vertex],0)),1,1,"")</f>
        <v>3</v>
      </c>
      <c r="BF163" s="49">
        <v>0</v>
      </c>
      <c r="BG163" s="50">
        <v>0</v>
      </c>
      <c r="BH163" s="49">
        <v>0</v>
      </c>
      <c r="BI163" s="50">
        <v>0</v>
      </c>
      <c r="BJ163" s="49">
        <v>0</v>
      </c>
      <c r="BK163" s="50">
        <v>0</v>
      </c>
      <c r="BL163" s="49">
        <v>14</v>
      </c>
      <c r="BM163" s="50">
        <v>100</v>
      </c>
      <c r="BN163" s="49">
        <v>14</v>
      </c>
    </row>
    <row r="164" spans="1:66" ht="15">
      <c r="A164" s="65" t="s">
        <v>329</v>
      </c>
      <c r="B164" s="65" t="s">
        <v>349</v>
      </c>
      <c r="C164" s="66"/>
      <c r="D164" s="67"/>
      <c r="E164" s="66"/>
      <c r="F164" s="69"/>
      <c r="G164" s="66"/>
      <c r="H164" s="70"/>
      <c r="I164" s="71"/>
      <c r="J164" s="71"/>
      <c r="K164" s="35" t="s">
        <v>65</v>
      </c>
      <c r="L164" s="72">
        <v>383</v>
      </c>
      <c r="M164" s="72"/>
      <c r="N164" s="73"/>
      <c r="O164" s="80" t="s">
        <v>406</v>
      </c>
      <c r="P164" s="82">
        <v>44476.17071759259</v>
      </c>
      <c r="Q164" s="80" t="s">
        <v>496</v>
      </c>
      <c r="R164" s="85" t="str">
        <f>HYPERLINK("https://www.greenqueen.com.hk/hong-kong-cell-based-meat-study/")</f>
        <v>https://www.greenqueen.com.hk/hong-kong-cell-based-meat-study/</v>
      </c>
      <c r="S164" s="80" t="s">
        <v>525</v>
      </c>
      <c r="T164" s="80"/>
      <c r="U164" s="80"/>
      <c r="V164" s="85" t="str">
        <f>HYPERLINK("https://pbs.twimg.com/profile_images/1067102741980487680/tL2beQao_normal.jpg")</f>
        <v>https://pbs.twimg.com/profile_images/1067102741980487680/tL2beQao_normal.jpg</v>
      </c>
      <c r="W164" s="82">
        <v>44476.17071759259</v>
      </c>
      <c r="X164" s="87">
        <v>44476</v>
      </c>
      <c r="Y164" s="83" t="s">
        <v>724</v>
      </c>
      <c r="Z164" s="85" t="str">
        <f>HYPERLINK("https://twitter.com/shiokmeats/status/1445963555417690115")</f>
        <v>https://twitter.com/shiokmeats/status/1445963555417690115</v>
      </c>
      <c r="AA164" s="80"/>
      <c r="AB164" s="80"/>
      <c r="AC164" s="83" t="s">
        <v>911</v>
      </c>
      <c r="AD164" s="83" t="s">
        <v>948</v>
      </c>
      <c r="AE164" s="80" t="b">
        <v>0</v>
      </c>
      <c r="AF164" s="80">
        <v>4</v>
      </c>
      <c r="AG164" s="83" t="s">
        <v>964</v>
      </c>
      <c r="AH164" s="80" t="b">
        <v>0</v>
      </c>
      <c r="AI164" s="80" t="s">
        <v>967</v>
      </c>
      <c r="AJ164" s="80"/>
      <c r="AK164" s="83" t="s">
        <v>952</v>
      </c>
      <c r="AL164" s="80" t="b">
        <v>0</v>
      </c>
      <c r="AM164" s="80">
        <v>1</v>
      </c>
      <c r="AN164" s="83" t="s">
        <v>952</v>
      </c>
      <c r="AO164" s="83" t="s">
        <v>976</v>
      </c>
      <c r="AP164" s="80" t="b">
        <v>0</v>
      </c>
      <c r="AQ164" s="83" t="s">
        <v>948</v>
      </c>
      <c r="AR164" s="80" t="s">
        <v>196</v>
      </c>
      <c r="AS164" s="80">
        <v>0</v>
      </c>
      <c r="AT164" s="80">
        <v>0</v>
      </c>
      <c r="AU164" s="80"/>
      <c r="AV164" s="80"/>
      <c r="AW164" s="80"/>
      <c r="AX164" s="80"/>
      <c r="AY164" s="80"/>
      <c r="AZ164" s="80"/>
      <c r="BA164" s="80"/>
      <c r="BB164" s="80"/>
      <c r="BC164">
        <v>1</v>
      </c>
      <c r="BD164" s="79" t="str">
        <f>REPLACE(INDEX(GroupVertices[Group],MATCH(Edges25[[#This Row],[Vertex 1]],GroupVertices[Vertex],0)),1,1,"")</f>
        <v>3</v>
      </c>
      <c r="BE164" s="79" t="str">
        <f>REPLACE(INDEX(GroupVertices[Group],MATCH(Edges25[[#This Row],[Vertex 2]],GroupVertices[Vertex],0)),1,1,"")</f>
        <v>3</v>
      </c>
      <c r="BF164" s="49">
        <v>1</v>
      </c>
      <c r="BG164" s="50">
        <v>14.285714285714286</v>
      </c>
      <c r="BH164" s="49">
        <v>0</v>
      </c>
      <c r="BI164" s="50">
        <v>0</v>
      </c>
      <c r="BJ164" s="49">
        <v>0</v>
      </c>
      <c r="BK164" s="50">
        <v>0</v>
      </c>
      <c r="BL164" s="49">
        <v>6</v>
      </c>
      <c r="BM164" s="50">
        <v>85.71428571428571</v>
      </c>
      <c r="BN164" s="49">
        <v>7</v>
      </c>
    </row>
    <row r="165" spans="1:66" ht="15">
      <c r="A165" s="65" t="s">
        <v>347</v>
      </c>
      <c r="B165" s="65" t="s">
        <v>349</v>
      </c>
      <c r="C165" s="66"/>
      <c r="D165" s="67"/>
      <c r="E165" s="66"/>
      <c r="F165" s="69"/>
      <c r="G165" s="66"/>
      <c r="H165" s="70"/>
      <c r="I165" s="71"/>
      <c r="J165" s="71"/>
      <c r="K165" s="35" t="s">
        <v>65</v>
      </c>
      <c r="L165" s="72">
        <v>384</v>
      </c>
      <c r="M165" s="72"/>
      <c r="N165" s="73"/>
      <c r="O165" s="80" t="s">
        <v>407</v>
      </c>
      <c r="P165" s="82">
        <v>44476.18537037037</v>
      </c>
      <c r="Q165" s="80" t="s">
        <v>496</v>
      </c>
      <c r="R165" s="85" t="str">
        <f>HYPERLINK("https://www.greenqueen.com.hk/hong-kong-cell-based-meat-study/")</f>
        <v>https://www.greenqueen.com.hk/hong-kong-cell-based-meat-study/</v>
      </c>
      <c r="S165" s="80" t="s">
        <v>525</v>
      </c>
      <c r="T165" s="80"/>
      <c r="U165" s="80"/>
      <c r="V165" s="85" t="str">
        <f>HYPERLINK("https://pbs.twimg.com/profile_images/1207023594204741634/oNEPNuoG_normal.jpg")</f>
        <v>https://pbs.twimg.com/profile_images/1207023594204741634/oNEPNuoG_normal.jpg</v>
      </c>
      <c r="W165" s="82">
        <v>44476.18537037037</v>
      </c>
      <c r="X165" s="87">
        <v>44476</v>
      </c>
      <c r="Y165" s="83" t="s">
        <v>725</v>
      </c>
      <c r="Z165" s="85" t="str">
        <f>HYPERLINK("https://twitter.com/craftmeati/status/1445968864626585600")</f>
        <v>https://twitter.com/craftmeati/status/1445968864626585600</v>
      </c>
      <c r="AA165" s="80"/>
      <c r="AB165" s="80"/>
      <c r="AC165" s="83" t="s">
        <v>912</v>
      </c>
      <c r="AD165" s="80"/>
      <c r="AE165" s="80" t="b">
        <v>0</v>
      </c>
      <c r="AF165" s="80">
        <v>0</v>
      </c>
      <c r="AG165" s="83" t="s">
        <v>952</v>
      </c>
      <c r="AH165" s="80" t="b">
        <v>0</v>
      </c>
      <c r="AI165" s="80" t="s">
        <v>967</v>
      </c>
      <c r="AJ165" s="80"/>
      <c r="AK165" s="83" t="s">
        <v>952</v>
      </c>
      <c r="AL165" s="80" t="b">
        <v>0</v>
      </c>
      <c r="AM165" s="80">
        <v>1</v>
      </c>
      <c r="AN165" s="83" t="s">
        <v>911</v>
      </c>
      <c r="AO165" s="83" t="s">
        <v>979</v>
      </c>
      <c r="AP165" s="80" t="b">
        <v>0</v>
      </c>
      <c r="AQ165" s="83" t="s">
        <v>911</v>
      </c>
      <c r="AR165" s="80" t="s">
        <v>196</v>
      </c>
      <c r="AS165" s="80">
        <v>0</v>
      </c>
      <c r="AT165" s="80">
        <v>0</v>
      </c>
      <c r="AU165" s="80"/>
      <c r="AV165" s="80"/>
      <c r="AW165" s="80"/>
      <c r="AX165" s="80"/>
      <c r="AY165" s="80"/>
      <c r="AZ165" s="80"/>
      <c r="BA165" s="80"/>
      <c r="BB165" s="80"/>
      <c r="BC165">
        <v>1</v>
      </c>
      <c r="BD165" s="79" t="str">
        <f>REPLACE(INDEX(GroupVertices[Group],MATCH(Edges25[[#This Row],[Vertex 1]],GroupVertices[Vertex],0)),1,1,"")</f>
        <v>3</v>
      </c>
      <c r="BE165" s="79" t="str">
        <f>REPLACE(INDEX(GroupVertices[Group],MATCH(Edges25[[#This Row],[Vertex 2]],GroupVertices[Vertex],0)),1,1,"")</f>
        <v>3</v>
      </c>
      <c r="BF165" s="49">
        <v>1</v>
      </c>
      <c r="BG165" s="50">
        <v>14.285714285714286</v>
      </c>
      <c r="BH165" s="49">
        <v>0</v>
      </c>
      <c r="BI165" s="50">
        <v>0</v>
      </c>
      <c r="BJ165" s="49">
        <v>0</v>
      </c>
      <c r="BK165" s="50">
        <v>0</v>
      </c>
      <c r="BL165" s="49">
        <v>6</v>
      </c>
      <c r="BM165" s="50">
        <v>85.71428571428571</v>
      </c>
      <c r="BN165" s="49">
        <v>7</v>
      </c>
    </row>
    <row r="166" spans="1:66" ht="15">
      <c r="A166" s="65" t="s">
        <v>329</v>
      </c>
      <c r="B166" s="65" t="s">
        <v>329</v>
      </c>
      <c r="C166" s="66"/>
      <c r="D166" s="67"/>
      <c r="E166" s="66"/>
      <c r="F166" s="69"/>
      <c r="G166" s="66"/>
      <c r="H166" s="70"/>
      <c r="I166" s="71"/>
      <c r="J166" s="71"/>
      <c r="K166" s="35" t="s">
        <v>65</v>
      </c>
      <c r="L166" s="72">
        <v>385</v>
      </c>
      <c r="M166" s="72"/>
      <c r="N166" s="73"/>
      <c r="O166" s="80" t="s">
        <v>196</v>
      </c>
      <c r="P166" s="82">
        <v>44479.190416666665</v>
      </c>
      <c r="Q166" s="80" t="s">
        <v>497</v>
      </c>
      <c r="R166" s="85" t="str">
        <f>HYPERLINK("https://www.facebook.com/PenangScienceCluster/videos/353356909554610")</f>
        <v>https://www.facebook.com/PenangScienceCluster/videos/353356909554610</v>
      </c>
      <c r="S166" s="80" t="s">
        <v>520</v>
      </c>
      <c r="T166" s="80"/>
      <c r="U166" s="80"/>
      <c r="V166" s="85" t="str">
        <f>HYPERLINK("https://pbs.twimg.com/profile_images/1067102741980487680/tL2beQao_normal.jpg")</f>
        <v>https://pbs.twimg.com/profile_images/1067102741980487680/tL2beQao_normal.jpg</v>
      </c>
      <c r="W166" s="82">
        <v>44479.190416666665</v>
      </c>
      <c r="X166" s="87">
        <v>44479</v>
      </c>
      <c r="Y166" s="83" t="s">
        <v>726</v>
      </c>
      <c r="Z166" s="85" t="str">
        <f>HYPERLINK("https://twitter.com/shiokmeats/status/1447057854255415297")</f>
        <v>https://twitter.com/shiokmeats/status/1447057854255415297</v>
      </c>
      <c r="AA166" s="80"/>
      <c r="AB166" s="80"/>
      <c r="AC166" s="83" t="s">
        <v>913</v>
      </c>
      <c r="AD166" s="83" t="s">
        <v>949</v>
      </c>
      <c r="AE166" s="80" t="b">
        <v>0</v>
      </c>
      <c r="AF166" s="80">
        <v>2</v>
      </c>
      <c r="AG166" s="83" t="s">
        <v>964</v>
      </c>
      <c r="AH166" s="80" t="b">
        <v>0</v>
      </c>
      <c r="AI166" s="80" t="s">
        <v>967</v>
      </c>
      <c r="AJ166" s="80"/>
      <c r="AK166" s="83" t="s">
        <v>952</v>
      </c>
      <c r="AL166" s="80" t="b">
        <v>0</v>
      </c>
      <c r="AM166" s="80">
        <v>0</v>
      </c>
      <c r="AN166" s="83" t="s">
        <v>952</v>
      </c>
      <c r="AO166" s="83" t="s">
        <v>976</v>
      </c>
      <c r="AP166" s="80" t="b">
        <v>0</v>
      </c>
      <c r="AQ166" s="83" t="s">
        <v>949</v>
      </c>
      <c r="AR166" s="80" t="s">
        <v>196</v>
      </c>
      <c r="AS166" s="80">
        <v>0</v>
      </c>
      <c r="AT166" s="80">
        <v>0</v>
      </c>
      <c r="AU166" s="80"/>
      <c r="AV166" s="80"/>
      <c r="AW166" s="80"/>
      <c r="AX166" s="80"/>
      <c r="AY166" s="80"/>
      <c r="AZ166" s="80"/>
      <c r="BA166" s="80"/>
      <c r="BB166" s="80"/>
      <c r="BC166">
        <v>1</v>
      </c>
      <c r="BD166" s="79" t="str">
        <f>REPLACE(INDEX(GroupVertices[Group],MATCH(Edges25[[#This Row],[Vertex 1]],GroupVertices[Vertex],0)),1,1,"")</f>
        <v>3</v>
      </c>
      <c r="BE166" s="79" t="str">
        <f>REPLACE(INDEX(GroupVertices[Group],MATCH(Edges25[[#This Row],[Vertex 2]],GroupVertices[Vertex],0)),1,1,"")</f>
        <v>3</v>
      </c>
      <c r="BF166" s="49">
        <v>0</v>
      </c>
      <c r="BG166" s="50">
        <v>0</v>
      </c>
      <c r="BH166" s="49">
        <v>0</v>
      </c>
      <c r="BI166" s="50">
        <v>0</v>
      </c>
      <c r="BJ166" s="49">
        <v>0</v>
      </c>
      <c r="BK166" s="50">
        <v>0</v>
      </c>
      <c r="BL166" s="49">
        <v>8</v>
      </c>
      <c r="BM166" s="50">
        <v>100</v>
      </c>
      <c r="BN166" s="49">
        <v>8</v>
      </c>
    </row>
    <row r="167" spans="1:66" ht="15">
      <c r="A167" s="65" t="s">
        <v>350</v>
      </c>
      <c r="B167" s="65" t="s">
        <v>380</v>
      </c>
      <c r="C167" s="66"/>
      <c r="D167" s="67"/>
      <c r="E167" s="66"/>
      <c r="F167" s="69"/>
      <c r="G167" s="66"/>
      <c r="H167" s="70"/>
      <c r="I167" s="71"/>
      <c r="J167" s="71"/>
      <c r="K167" s="35" t="s">
        <v>65</v>
      </c>
      <c r="L167" s="72">
        <v>387</v>
      </c>
      <c r="M167" s="72"/>
      <c r="N167" s="73"/>
      <c r="O167" s="80" t="s">
        <v>406</v>
      </c>
      <c r="P167" s="82">
        <v>44477.05459490741</v>
      </c>
      <c r="Q167" s="80" t="s">
        <v>438</v>
      </c>
      <c r="R167" s="80"/>
      <c r="S167" s="80"/>
      <c r="T167" s="83" t="s">
        <v>553</v>
      </c>
      <c r="U167" s="85" t="str">
        <f>HYPERLINK("https://pbs.twimg.com/media/FBI7gPFVQAMNirk.jpg")</f>
        <v>https://pbs.twimg.com/media/FBI7gPFVQAMNirk.jpg</v>
      </c>
      <c r="V167" s="85" t="str">
        <f>HYPERLINK("https://pbs.twimg.com/media/FBI7gPFVQAMNirk.jpg")</f>
        <v>https://pbs.twimg.com/media/FBI7gPFVQAMNirk.jpg</v>
      </c>
      <c r="W167" s="82">
        <v>44477.05459490741</v>
      </c>
      <c r="X167" s="87">
        <v>44477</v>
      </c>
      <c r="Y167" s="83" t="s">
        <v>727</v>
      </c>
      <c r="Z167" s="85" t="str">
        <f>HYPERLINK("https://twitter.com/mtffilm/status/1446283859042062338")</f>
        <v>https://twitter.com/mtffilm/status/1446283859042062338</v>
      </c>
      <c r="AA167" s="80"/>
      <c r="AB167" s="80"/>
      <c r="AC167" s="83" t="s">
        <v>914</v>
      </c>
      <c r="AD167" s="80"/>
      <c r="AE167" s="80" t="b">
        <v>0</v>
      </c>
      <c r="AF167" s="80">
        <v>13</v>
      </c>
      <c r="AG167" s="83" t="s">
        <v>952</v>
      </c>
      <c r="AH167" s="80" t="b">
        <v>0</v>
      </c>
      <c r="AI167" s="80" t="s">
        <v>967</v>
      </c>
      <c r="AJ167" s="80"/>
      <c r="AK167" s="83" t="s">
        <v>952</v>
      </c>
      <c r="AL167" s="80" t="b">
        <v>0</v>
      </c>
      <c r="AM167" s="80">
        <v>3</v>
      </c>
      <c r="AN167" s="83" t="s">
        <v>952</v>
      </c>
      <c r="AO167" s="83" t="s">
        <v>976</v>
      </c>
      <c r="AP167" s="80" t="b">
        <v>0</v>
      </c>
      <c r="AQ167" s="83" t="s">
        <v>914</v>
      </c>
      <c r="AR167" s="80" t="s">
        <v>196</v>
      </c>
      <c r="AS167" s="80">
        <v>0</v>
      </c>
      <c r="AT167" s="80">
        <v>0</v>
      </c>
      <c r="AU167" s="80"/>
      <c r="AV167" s="80"/>
      <c r="AW167" s="80"/>
      <c r="AX167" s="80"/>
      <c r="AY167" s="80"/>
      <c r="AZ167" s="80"/>
      <c r="BA167" s="80"/>
      <c r="BB167" s="80"/>
      <c r="BC167">
        <v>1</v>
      </c>
      <c r="BD167" s="79" t="str">
        <f>REPLACE(INDEX(GroupVertices[Group],MATCH(Edges25[[#This Row],[Vertex 1]],GroupVertices[Vertex],0)),1,1,"")</f>
        <v>3</v>
      </c>
      <c r="BE167" s="79" t="str">
        <f>REPLACE(INDEX(GroupVertices[Group],MATCH(Edges25[[#This Row],[Vertex 2]],GroupVertices[Vertex],0)),1,1,"")</f>
        <v>3</v>
      </c>
      <c r="BF167" s="49"/>
      <c r="BG167" s="50"/>
      <c r="BH167" s="49"/>
      <c r="BI167" s="50"/>
      <c r="BJ167" s="49"/>
      <c r="BK167" s="50"/>
      <c r="BL167" s="49"/>
      <c r="BM167" s="50"/>
      <c r="BN167" s="49"/>
    </row>
    <row r="168" spans="1:66" ht="15">
      <c r="A168" s="65" t="s">
        <v>347</v>
      </c>
      <c r="B168" s="65" t="s">
        <v>380</v>
      </c>
      <c r="C168" s="66"/>
      <c r="D168" s="67"/>
      <c r="E168" s="66"/>
      <c r="F168" s="69"/>
      <c r="G168" s="66"/>
      <c r="H168" s="70"/>
      <c r="I168" s="71"/>
      <c r="J168" s="71"/>
      <c r="K168" s="35" t="s">
        <v>65</v>
      </c>
      <c r="L168" s="72">
        <v>388</v>
      </c>
      <c r="M168" s="72"/>
      <c r="N168" s="73"/>
      <c r="O168" s="80" t="s">
        <v>407</v>
      </c>
      <c r="P168" s="82">
        <v>44477.06700231481</v>
      </c>
      <c r="Q168" s="80" t="s">
        <v>438</v>
      </c>
      <c r="R168" s="80"/>
      <c r="S168" s="80"/>
      <c r="T168" s="83" t="s">
        <v>553</v>
      </c>
      <c r="U168" s="85" t="str">
        <f>HYPERLINK("https://pbs.twimg.com/media/FBI7gPFVQAMNirk.jpg")</f>
        <v>https://pbs.twimg.com/media/FBI7gPFVQAMNirk.jpg</v>
      </c>
      <c r="V168" s="85" t="str">
        <f>HYPERLINK("https://pbs.twimg.com/media/FBI7gPFVQAMNirk.jpg")</f>
        <v>https://pbs.twimg.com/media/FBI7gPFVQAMNirk.jpg</v>
      </c>
      <c r="W168" s="82">
        <v>44477.06700231481</v>
      </c>
      <c r="X168" s="87">
        <v>44477</v>
      </c>
      <c r="Y168" s="83" t="s">
        <v>728</v>
      </c>
      <c r="Z168" s="85" t="str">
        <f>HYPERLINK("https://twitter.com/craftmeati/status/1446288357835821056")</f>
        <v>https://twitter.com/craftmeati/status/1446288357835821056</v>
      </c>
      <c r="AA168" s="80"/>
      <c r="AB168" s="80"/>
      <c r="AC168" s="83" t="s">
        <v>915</v>
      </c>
      <c r="AD168" s="80"/>
      <c r="AE168" s="80" t="b">
        <v>0</v>
      </c>
      <c r="AF168" s="80">
        <v>0</v>
      </c>
      <c r="AG168" s="83" t="s">
        <v>952</v>
      </c>
      <c r="AH168" s="80" t="b">
        <v>0</v>
      </c>
      <c r="AI168" s="80" t="s">
        <v>967</v>
      </c>
      <c r="AJ168" s="80"/>
      <c r="AK168" s="83" t="s">
        <v>952</v>
      </c>
      <c r="AL168" s="80" t="b">
        <v>0</v>
      </c>
      <c r="AM168" s="80">
        <v>3</v>
      </c>
      <c r="AN168" s="83" t="s">
        <v>914</v>
      </c>
      <c r="AO168" s="83" t="s">
        <v>979</v>
      </c>
      <c r="AP168" s="80" t="b">
        <v>0</v>
      </c>
      <c r="AQ168" s="83" t="s">
        <v>914</v>
      </c>
      <c r="AR168" s="80" t="s">
        <v>196</v>
      </c>
      <c r="AS168" s="80">
        <v>0</v>
      </c>
      <c r="AT168" s="80">
        <v>0</v>
      </c>
      <c r="AU168" s="80"/>
      <c r="AV168" s="80"/>
      <c r="AW168" s="80"/>
      <c r="AX168" s="80"/>
      <c r="AY168" s="80"/>
      <c r="AZ168" s="80"/>
      <c r="BA168" s="80"/>
      <c r="BB168" s="80"/>
      <c r="BC168">
        <v>1</v>
      </c>
      <c r="BD168" s="79" t="str">
        <f>REPLACE(INDEX(GroupVertices[Group],MATCH(Edges25[[#This Row],[Vertex 1]],GroupVertices[Vertex],0)),1,1,"")</f>
        <v>3</v>
      </c>
      <c r="BE168" s="79" t="str">
        <f>REPLACE(INDEX(GroupVertices[Group],MATCH(Edges25[[#This Row],[Vertex 2]],GroupVertices[Vertex],0)),1,1,"")</f>
        <v>3</v>
      </c>
      <c r="BF168" s="49"/>
      <c r="BG168" s="50"/>
      <c r="BH168" s="49"/>
      <c r="BI168" s="50"/>
      <c r="BJ168" s="49"/>
      <c r="BK168" s="50"/>
      <c r="BL168" s="49"/>
      <c r="BM168" s="50"/>
      <c r="BN168" s="49"/>
    </row>
    <row r="169" spans="1:66" ht="15">
      <c r="A169" s="65" t="s">
        <v>351</v>
      </c>
      <c r="B169" s="65" t="s">
        <v>351</v>
      </c>
      <c r="C169" s="66"/>
      <c r="D169" s="67"/>
      <c r="E169" s="66"/>
      <c r="F169" s="69"/>
      <c r="G169" s="66"/>
      <c r="H169" s="70"/>
      <c r="I169" s="71"/>
      <c r="J169" s="71"/>
      <c r="K169" s="35" t="s">
        <v>65</v>
      </c>
      <c r="L169" s="72">
        <v>392</v>
      </c>
      <c r="M169" s="72"/>
      <c r="N169" s="73"/>
      <c r="O169" s="80" t="s">
        <v>196</v>
      </c>
      <c r="P169" s="82">
        <v>44475.58907407407</v>
      </c>
      <c r="Q169" s="80" t="s">
        <v>498</v>
      </c>
      <c r="R169" s="85" t="str">
        <f>HYPERLINK("https://www.foodingredientsfirst.com/news/cell-based-antelope-could-cultured-meat-unlock-southern-africas-nutrition-problems.html#.YV2so6A7Z2A.twitter")</f>
        <v>https://www.foodingredientsfirst.com/news/cell-based-antelope-could-cultured-meat-unlock-southern-africas-nutrition-problems.html#.YV2so6A7Z2A.twitter</v>
      </c>
      <c r="S169" s="80" t="s">
        <v>543</v>
      </c>
      <c r="T169" s="83" t="s">
        <v>562</v>
      </c>
      <c r="U169" s="80"/>
      <c r="V169" s="85" t="str">
        <f>HYPERLINK("https://pbs.twimg.com/profile_images/710049013966487552/xyQ5j5sJ_normal.jpg")</f>
        <v>https://pbs.twimg.com/profile_images/710049013966487552/xyQ5j5sJ_normal.jpg</v>
      </c>
      <c r="W169" s="82">
        <v>44475.58907407407</v>
      </c>
      <c r="X169" s="87">
        <v>44475</v>
      </c>
      <c r="Y169" s="83" t="s">
        <v>729</v>
      </c>
      <c r="Z169" s="85" t="str">
        <f>HYPERLINK("https://twitter.com/fooding1st/status/1445752773035716631")</f>
        <v>https://twitter.com/fooding1st/status/1445752773035716631</v>
      </c>
      <c r="AA169" s="80"/>
      <c r="AB169" s="80"/>
      <c r="AC169" s="83" t="s">
        <v>916</v>
      </c>
      <c r="AD169" s="80"/>
      <c r="AE169" s="80" t="b">
        <v>0</v>
      </c>
      <c r="AF169" s="80">
        <v>0</v>
      </c>
      <c r="AG169" s="83" t="s">
        <v>952</v>
      </c>
      <c r="AH169" s="80" t="b">
        <v>0</v>
      </c>
      <c r="AI169" s="80" t="s">
        <v>967</v>
      </c>
      <c r="AJ169" s="80"/>
      <c r="AK169" s="83" t="s">
        <v>952</v>
      </c>
      <c r="AL169" s="80" t="b">
        <v>0</v>
      </c>
      <c r="AM169" s="80">
        <v>0</v>
      </c>
      <c r="AN169" s="83" t="s">
        <v>952</v>
      </c>
      <c r="AO169" s="83" t="s">
        <v>972</v>
      </c>
      <c r="AP169" s="80" t="b">
        <v>0</v>
      </c>
      <c r="AQ169" s="83" t="s">
        <v>916</v>
      </c>
      <c r="AR169" s="80" t="s">
        <v>196</v>
      </c>
      <c r="AS169" s="80">
        <v>0</v>
      </c>
      <c r="AT169" s="80">
        <v>0</v>
      </c>
      <c r="AU169" s="80"/>
      <c r="AV169" s="80"/>
      <c r="AW169" s="80"/>
      <c r="AX169" s="80"/>
      <c r="AY169" s="80"/>
      <c r="AZ169" s="80"/>
      <c r="BA169" s="80"/>
      <c r="BB169" s="80"/>
      <c r="BC169">
        <v>1</v>
      </c>
      <c r="BD169" s="79" t="str">
        <f>REPLACE(INDEX(GroupVertices[Group],MATCH(Edges25[[#This Row],[Vertex 1]],GroupVertices[Vertex],0)),1,1,"")</f>
        <v>3</v>
      </c>
      <c r="BE169" s="79" t="str">
        <f>REPLACE(INDEX(GroupVertices[Group],MATCH(Edges25[[#This Row],[Vertex 2]],GroupVertices[Vertex],0)),1,1,"")</f>
        <v>3</v>
      </c>
      <c r="BF169" s="49">
        <v>1</v>
      </c>
      <c r="BG169" s="50">
        <v>5.882352941176471</v>
      </c>
      <c r="BH169" s="49">
        <v>1</v>
      </c>
      <c r="BI169" s="50">
        <v>5.882352941176471</v>
      </c>
      <c r="BJ169" s="49">
        <v>0</v>
      </c>
      <c r="BK169" s="50">
        <v>0</v>
      </c>
      <c r="BL169" s="49">
        <v>15</v>
      </c>
      <c r="BM169" s="50">
        <v>88.23529411764706</v>
      </c>
      <c r="BN169" s="49">
        <v>17</v>
      </c>
    </row>
    <row r="170" spans="1:66" ht="15">
      <c r="A170" s="65" t="s">
        <v>352</v>
      </c>
      <c r="B170" s="65" t="s">
        <v>351</v>
      </c>
      <c r="C170" s="66"/>
      <c r="D170" s="67"/>
      <c r="E170" s="66"/>
      <c r="F170" s="69"/>
      <c r="G170" s="66"/>
      <c r="H170" s="70"/>
      <c r="I170" s="71"/>
      <c r="J170" s="71"/>
      <c r="K170" s="35" t="s">
        <v>65</v>
      </c>
      <c r="L170" s="72">
        <v>393</v>
      </c>
      <c r="M170" s="72"/>
      <c r="N170" s="73"/>
      <c r="O170" s="80" t="s">
        <v>406</v>
      </c>
      <c r="P170" s="82">
        <v>44477.667719907404</v>
      </c>
      <c r="Q170" s="80" t="s">
        <v>499</v>
      </c>
      <c r="R170" s="85" t="str">
        <f>HYPERLINK("https://www.foodingredientsfirst.com/news/cell-based-antelope-could-cultured-meat-unlock-southern-africas-nutrition-problems.html")</f>
        <v>https://www.foodingredientsfirst.com/news/cell-based-antelope-could-cultured-meat-unlock-southern-africas-nutrition-problems.html</v>
      </c>
      <c r="S170" s="80" t="s">
        <v>543</v>
      </c>
      <c r="T170" s="83" t="s">
        <v>563</v>
      </c>
      <c r="U170" s="80"/>
      <c r="V170" s="85" t="str">
        <f>HYPERLINK("https://pbs.twimg.com/profile_images/1197225094000582657/OIolEPeF_normal.jpg")</f>
        <v>https://pbs.twimg.com/profile_images/1197225094000582657/OIolEPeF_normal.jpg</v>
      </c>
      <c r="W170" s="82">
        <v>44477.667719907404</v>
      </c>
      <c r="X170" s="87">
        <v>44477</v>
      </c>
      <c r="Y170" s="83" t="s">
        <v>730</v>
      </c>
      <c r="Z170" s="85" t="str">
        <f>HYPERLINK("https://twitter.com/protein_report/status/1446506047137619969")</f>
        <v>https://twitter.com/protein_report/status/1446506047137619969</v>
      </c>
      <c r="AA170" s="80"/>
      <c r="AB170" s="80"/>
      <c r="AC170" s="83" t="s">
        <v>917</v>
      </c>
      <c r="AD170" s="80"/>
      <c r="AE170" s="80" t="b">
        <v>0</v>
      </c>
      <c r="AF170" s="80">
        <v>2</v>
      </c>
      <c r="AG170" s="83" t="s">
        <v>952</v>
      </c>
      <c r="AH170" s="80" t="b">
        <v>0</v>
      </c>
      <c r="AI170" s="80" t="s">
        <v>967</v>
      </c>
      <c r="AJ170" s="80"/>
      <c r="AK170" s="83" t="s">
        <v>952</v>
      </c>
      <c r="AL170" s="80" t="b">
        <v>0</v>
      </c>
      <c r="AM170" s="80">
        <v>1</v>
      </c>
      <c r="AN170" s="83" t="s">
        <v>952</v>
      </c>
      <c r="AO170" s="83" t="s">
        <v>994</v>
      </c>
      <c r="AP170" s="80" t="b">
        <v>0</v>
      </c>
      <c r="AQ170" s="83" t="s">
        <v>917</v>
      </c>
      <c r="AR170" s="80" t="s">
        <v>196</v>
      </c>
      <c r="AS170" s="80">
        <v>0</v>
      </c>
      <c r="AT170" s="80">
        <v>0</v>
      </c>
      <c r="AU170" s="80"/>
      <c r="AV170" s="80"/>
      <c r="AW170" s="80"/>
      <c r="AX170" s="80"/>
      <c r="AY170" s="80"/>
      <c r="AZ170" s="80"/>
      <c r="BA170" s="80"/>
      <c r="BB170" s="80"/>
      <c r="BC170">
        <v>1</v>
      </c>
      <c r="BD170" s="79" t="str">
        <f>REPLACE(INDEX(GroupVertices[Group],MATCH(Edges25[[#This Row],[Vertex 1]],GroupVertices[Vertex],0)),1,1,"")</f>
        <v>3</v>
      </c>
      <c r="BE170" s="79" t="str">
        <f>REPLACE(INDEX(GroupVertices[Group],MATCH(Edges25[[#This Row],[Vertex 2]],GroupVertices[Vertex],0)),1,1,"")</f>
        <v>3</v>
      </c>
      <c r="BF170" s="49"/>
      <c r="BG170" s="50"/>
      <c r="BH170" s="49"/>
      <c r="BI170" s="50"/>
      <c r="BJ170" s="49"/>
      <c r="BK170" s="50"/>
      <c r="BL170" s="49"/>
      <c r="BM170" s="50"/>
      <c r="BN170" s="49"/>
    </row>
    <row r="171" spans="1:66" ht="15">
      <c r="A171" s="65" t="s">
        <v>347</v>
      </c>
      <c r="B171" s="65" t="s">
        <v>351</v>
      </c>
      <c r="C171" s="66"/>
      <c r="D171" s="67"/>
      <c r="E171" s="66"/>
      <c r="F171" s="69"/>
      <c r="G171" s="66"/>
      <c r="H171" s="70"/>
      <c r="I171" s="71"/>
      <c r="J171" s="71"/>
      <c r="K171" s="35" t="s">
        <v>65</v>
      </c>
      <c r="L171" s="72">
        <v>394</v>
      </c>
      <c r="M171" s="72"/>
      <c r="N171" s="73"/>
      <c r="O171" s="80" t="s">
        <v>407</v>
      </c>
      <c r="P171" s="82">
        <v>44477.68777777778</v>
      </c>
      <c r="Q171" s="80" t="s">
        <v>499</v>
      </c>
      <c r="R171" s="85" t="str">
        <f>HYPERLINK("https://www.foodingredientsfirst.com/news/cell-based-antelope-could-cultured-meat-unlock-southern-africas-nutrition-problems.html")</f>
        <v>https://www.foodingredientsfirst.com/news/cell-based-antelope-could-cultured-meat-unlock-southern-africas-nutrition-problems.html</v>
      </c>
      <c r="S171" s="80" t="s">
        <v>543</v>
      </c>
      <c r="T171" s="83" t="s">
        <v>563</v>
      </c>
      <c r="U171" s="80"/>
      <c r="V171" s="85" t="str">
        <f>HYPERLINK("https://pbs.twimg.com/profile_images/1207023594204741634/oNEPNuoG_normal.jpg")</f>
        <v>https://pbs.twimg.com/profile_images/1207023594204741634/oNEPNuoG_normal.jpg</v>
      </c>
      <c r="W171" s="82">
        <v>44477.68777777778</v>
      </c>
      <c r="X171" s="87">
        <v>44477</v>
      </c>
      <c r="Y171" s="83" t="s">
        <v>731</v>
      </c>
      <c r="Z171" s="85" t="str">
        <f>HYPERLINK("https://twitter.com/craftmeati/status/1446513319632850955")</f>
        <v>https://twitter.com/craftmeati/status/1446513319632850955</v>
      </c>
      <c r="AA171" s="80"/>
      <c r="AB171" s="80"/>
      <c r="AC171" s="83" t="s">
        <v>918</v>
      </c>
      <c r="AD171" s="80"/>
      <c r="AE171" s="80" t="b">
        <v>0</v>
      </c>
      <c r="AF171" s="80">
        <v>0</v>
      </c>
      <c r="AG171" s="83" t="s">
        <v>952</v>
      </c>
      <c r="AH171" s="80" t="b">
        <v>0</v>
      </c>
      <c r="AI171" s="80" t="s">
        <v>967</v>
      </c>
      <c r="AJ171" s="80"/>
      <c r="AK171" s="83" t="s">
        <v>952</v>
      </c>
      <c r="AL171" s="80" t="b">
        <v>0</v>
      </c>
      <c r="AM171" s="80">
        <v>1</v>
      </c>
      <c r="AN171" s="83" t="s">
        <v>917</v>
      </c>
      <c r="AO171" s="83" t="s">
        <v>979</v>
      </c>
      <c r="AP171" s="80" t="b">
        <v>0</v>
      </c>
      <c r="AQ171" s="83" t="s">
        <v>917</v>
      </c>
      <c r="AR171" s="80" t="s">
        <v>196</v>
      </c>
      <c r="AS171" s="80">
        <v>0</v>
      </c>
      <c r="AT171" s="80">
        <v>0</v>
      </c>
      <c r="AU171" s="80"/>
      <c r="AV171" s="80"/>
      <c r="AW171" s="80"/>
      <c r="AX171" s="80"/>
      <c r="AY171" s="80"/>
      <c r="AZ171" s="80"/>
      <c r="BA171" s="80"/>
      <c r="BB171" s="80"/>
      <c r="BC171">
        <v>1</v>
      </c>
      <c r="BD171" s="79" t="str">
        <f>REPLACE(INDEX(GroupVertices[Group],MATCH(Edges25[[#This Row],[Vertex 1]],GroupVertices[Vertex],0)),1,1,"")</f>
        <v>3</v>
      </c>
      <c r="BE171" s="79" t="str">
        <f>REPLACE(INDEX(GroupVertices[Group],MATCH(Edges25[[#This Row],[Vertex 2]],GroupVertices[Vertex],0)),1,1,"")</f>
        <v>3</v>
      </c>
      <c r="BF171" s="49"/>
      <c r="BG171" s="50"/>
      <c r="BH171" s="49"/>
      <c r="BI171" s="50"/>
      <c r="BJ171" s="49"/>
      <c r="BK171" s="50"/>
      <c r="BL171" s="49"/>
      <c r="BM171" s="50"/>
      <c r="BN171" s="49"/>
    </row>
    <row r="172" spans="1:66" ht="15">
      <c r="A172" s="65" t="s">
        <v>353</v>
      </c>
      <c r="B172" s="65" t="s">
        <v>353</v>
      </c>
      <c r="C172" s="66"/>
      <c r="D172" s="67"/>
      <c r="E172" s="66"/>
      <c r="F172" s="69"/>
      <c r="G172" s="66"/>
      <c r="H172" s="70"/>
      <c r="I172" s="71"/>
      <c r="J172" s="71"/>
      <c r="K172" s="35" t="s">
        <v>65</v>
      </c>
      <c r="L172" s="72">
        <v>398</v>
      </c>
      <c r="M172" s="72"/>
      <c r="N172" s="73"/>
      <c r="O172" s="80" t="s">
        <v>196</v>
      </c>
      <c r="P172" s="82">
        <v>44481.16736111111</v>
      </c>
      <c r="Q172" s="80" t="s">
        <v>492</v>
      </c>
      <c r="R172" s="85" t="str">
        <f>HYPERLINK("https://www.greenqueen.com.hk/animal-alternative-technologies-renaissance-farm-cell-based-meat/?utm_content=bufferec53f&amp;utm_medium=social&amp;utm_source=twitter.com&amp;utm_campaign=buffer")</f>
        <v>https://www.greenqueen.com.hk/animal-alternative-technologies-renaissance-farm-cell-based-meat/?utm_content=bufferec53f&amp;utm_medium=social&amp;utm_source=twitter.com&amp;utm_campaign=buffer</v>
      </c>
      <c r="S172" s="80" t="s">
        <v>525</v>
      </c>
      <c r="T172" s="80"/>
      <c r="U172" s="80"/>
      <c r="V172" s="85" t="str">
        <f>HYPERLINK("https://pbs.twimg.com/profile_images/1179580239334100993/fxNXEe4I_normal.jpg")</f>
        <v>https://pbs.twimg.com/profile_images/1179580239334100993/fxNXEe4I_normal.jpg</v>
      </c>
      <c r="W172" s="82">
        <v>44481.16736111111</v>
      </c>
      <c r="X172" s="87">
        <v>44481</v>
      </c>
      <c r="Y172" s="83" t="s">
        <v>732</v>
      </c>
      <c r="Z172" s="85" t="str">
        <f>HYPERLINK("https://twitter.com/skryb/status/1447774275516211203")</f>
        <v>https://twitter.com/skryb/status/1447774275516211203</v>
      </c>
      <c r="AA172" s="80"/>
      <c r="AB172" s="80"/>
      <c r="AC172" s="83" t="s">
        <v>919</v>
      </c>
      <c r="AD172" s="80"/>
      <c r="AE172" s="80" t="b">
        <v>0</v>
      </c>
      <c r="AF172" s="80">
        <v>5</v>
      </c>
      <c r="AG172" s="83" t="s">
        <v>952</v>
      </c>
      <c r="AH172" s="80" t="b">
        <v>0</v>
      </c>
      <c r="AI172" s="80" t="s">
        <v>967</v>
      </c>
      <c r="AJ172" s="80"/>
      <c r="AK172" s="83" t="s">
        <v>952</v>
      </c>
      <c r="AL172" s="80" t="b">
        <v>0</v>
      </c>
      <c r="AM172" s="80">
        <v>2</v>
      </c>
      <c r="AN172" s="83" t="s">
        <v>952</v>
      </c>
      <c r="AO172" s="83" t="s">
        <v>972</v>
      </c>
      <c r="AP172" s="80" t="b">
        <v>0</v>
      </c>
      <c r="AQ172" s="83" t="s">
        <v>919</v>
      </c>
      <c r="AR172" s="80" t="s">
        <v>196</v>
      </c>
      <c r="AS172" s="80">
        <v>0</v>
      </c>
      <c r="AT172" s="80">
        <v>0</v>
      </c>
      <c r="AU172" s="80"/>
      <c r="AV172" s="80"/>
      <c r="AW172" s="80"/>
      <c r="AX172" s="80"/>
      <c r="AY172" s="80"/>
      <c r="AZ172" s="80"/>
      <c r="BA172" s="80"/>
      <c r="BB172" s="80"/>
      <c r="BC172">
        <v>1</v>
      </c>
      <c r="BD172" s="79" t="str">
        <f>REPLACE(INDEX(GroupVertices[Group],MATCH(Edges25[[#This Row],[Vertex 1]],GroupVertices[Vertex],0)),1,1,"")</f>
        <v>3</v>
      </c>
      <c r="BE172" s="79" t="str">
        <f>REPLACE(INDEX(GroupVertices[Group],MATCH(Edges25[[#This Row],[Vertex 2]],GroupVertices[Vertex],0)),1,1,"")</f>
        <v>3</v>
      </c>
      <c r="BF172" s="49">
        <v>2</v>
      </c>
      <c r="BG172" s="50">
        <v>5.405405405405405</v>
      </c>
      <c r="BH172" s="49">
        <v>0</v>
      </c>
      <c r="BI172" s="50">
        <v>0</v>
      </c>
      <c r="BJ172" s="49">
        <v>0</v>
      </c>
      <c r="BK172" s="50">
        <v>0</v>
      </c>
      <c r="BL172" s="49">
        <v>35</v>
      </c>
      <c r="BM172" s="50">
        <v>94.5945945945946</v>
      </c>
      <c r="BN172" s="49">
        <v>37</v>
      </c>
    </row>
    <row r="173" spans="1:66" ht="15">
      <c r="A173" s="65" t="s">
        <v>347</v>
      </c>
      <c r="B173" s="65" t="s">
        <v>353</v>
      </c>
      <c r="C173" s="66"/>
      <c r="D173" s="67"/>
      <c r="E173" s="66"/>
      <c r="F173" s="69"/>
      <c r="G173" s="66"/>
      <c r="H173" s="70"/>
      <c r="I173" s="71"/>
      <c r="J173" s="71"/>
      <c r="K173" s="35" t="s">
        <v>65</v>
      </c>
      <c r="L173" s="72">
        <v>399</v>
      </c>
      <c r="M173" s="72"/>
      <c r="N173" s="73"/>
      <c r="O173" s="80" t="s">
        <v>408</v>
      </c>
      <c r="P173" s="82">
        <v>44481.47075231482</v>
      </c>
      <c r="Q173" s="80" t="s">
        <v>492</v>
      </c>
      <c r="R173" s="85" t="str">
        <f>HYPERLINK("https://www.greenqueen.com.hk/animal-alternative-technologies-renaissance-farm-cell-based-meat/?utm_content=bufferec53f&amp;utm_medium=social&amp;utm_source=twitter.com&amp;utm_campaign=buffer")</f>
        <v>https://www.greenqueen.com.hk/animal-alternative-technologies-renaissance-farm-cell-based-meat/?utm_content=bufferec53f&amp;utm_medium=social&amp;utm_source=twitter.com&amp;utm_campaign=buffer</v>
      </c>
      <c r="S173" s="80" t="s">
        <v>525</v>
      </c>
      <c r="T173" s="80"/>
      <c r="U173" s="80"/>
      <c r="V173" s="85" t="str">
        <f>HYPERLINK("https://pbs.twimg.com/profile_images/1207023594204741634/oNEPNuoG_normal.jpg")</f>
        <v>https://pbs.twimg.com/profile_images/1207023594204741634/oNEPNuoG_normal.jpg</v>
      </c>
      <c r="W173" s="82">
        <v>44481.47075231482</v>
      </c>
      <c r="X173" s="87">
        <v>44481</v>
      </c>
      <c r="Y173" s="83" t="s">
        <v>733</v>
      </c>
      <c r="Z173" s="85" t="str">
        <f>HYPERLINK("https://twitter.com/craftmeati/status/1447884220093894656")</f>
        <v>https://twitter.com/craftmeati/status/1447884220093894656</v>
      </c>
      <c r="AA173" s="80"/>
      <c r="AB173" s="80"/>
      <c r="AC173" s="83" t="s">
        <v>920</v>
      </c>
      <c r="AD173" s="80"/>
      <c r="AE173" s="80" t="b">
        <v>0</v>
      </c>
      <c r="AF173" s="80">
        <v>0</v>
      </c>
      <c r="AG173" s="83" t="s">
        <v>952</v>
      </c>
      <c r="AH173" s="80" t="b">
        <v>0</v>
      </c>
      <c r="AI173" s="80" t="s">
        <v>967</v>
      </c>
      <c r="AJ173" s="80"/>
      <c r="AK173" s="83" t="s">
        <v>952</v>
      </c>
      <c r="AL173" s="80" t="b">
        <v>0</v>
      </c>
      <c r="AM173" s="80">
        <v>2</v>
      </c>
      <c r="AN173" s="83" t="s">
        <v>919</v>
      </c>
      <c r="AO173" s="83" t="s">
        <v>979</v>
      </c>
      <c r="AP173" s="80" t="b">
        <v>0</v>
      </c>
      <c r="AQ173" s="83" t="s">
        <v>919</v>
      </c>
      <c r="AR173" s="80" t="s">
        <v>196</v>
      </c>
      <c r="AS173" s="80">
        <v>0</v>
      </c>
      <c r="AT173" s="80">
        <v>0</v>
      </c>
      <c r="AU173" s="80"/>
      <c r="AV173" s="80"/>
      <c r="AW173" s="80"/>
      <c r="AX173" s="80"/>
      <c r="AY173" s="80"/>
      <c r="AZ173" s="80"/>
      <c r="BA173" s="80"/>
      <c r="BB173" s="80"/>
      <c r="BC173">
        <v>1</v>
      </c>
      <c r="BD173" s="79" t="str">
        <f>REPLACE(INDEX(GroupVertices[Group],MATCH(Edges25[[#This Row],[Vertex 1]],GroupVertices[Vertex],0)),1,1,"")</f>
        <v>3</v>
      </c>
      <c r="BE173" s="79" t="str">
        <f>REPLACE(INDEX(GroupVertices[Group],MATCH(Edges25[[#This Row],[Vertex 2]],GroupVertices[Vertex],0)),1,1,"")</f>
        <v>3</v>
      </c>
      <c r="BF173" s="49">
        <v>2</v>
      </c>
      <c r="BG173" s="50">
        <v>5.405405405405405</v>
      </c>
      <c r="BH173" s="49">
        <v>0</v>
      </c>
      <c r="BI173" s="50">
        <v>0</v>
      </c>
      <c r="BJ173" s="49">
        <v>0</v>
      </c>
      <c r="BK173" s="50">
        <v>0</v>
      </c>
      <c r="BL173" s="49">
        <v>35</v>
      </c>
      <c r="BM173" s="50">
        <v>94.5945945945946</v>
      </c>
      <c r="BN173" s="49">
        <v>37</v>
      </c>
    </row>
    <row r="174" spans="1:66" ht="15">
      <c r="A174" s="65" t="s">
        <v>347</v>
      </c>
      <c r="B174" s="65" t="s">
        <v>364</v>
      </c>
      <c r="C174" s="66"/>
      <c r="D174" s="67"/>
      <c r="E174" s="66"/>
      <c r="F174" s="69"/>
      <c r="G174" s="66"/>
      <c r="H174" s="70"/>
      <c r="I174" s="71"/>
      <c r="J174" s="71"/>
      <c r="K174" s="35" t="s">
        <v>65</v>
      </c>
      <c r="L174" s="72">
        <v>400</v>
      </c>
      <c r="M174" s="72"/>
      <c r="N174" s="73"/>
      <c r="O174" s="80" t="s">
        <v>408</v>
      </c>
      <c r="P174" s="82">
        <v>44476.84611111111</v>
      </c>
      <c r="Q174" s="80" t="s">
        <v>500</v>
      </c>
      <c r="R174" s="85" t="str">
        <f>HYPERLINK("https://techcrunch.com/2021/09/27/new-age-meats-bites-into-25m-for-cultured-meat-product-line-development/?utm_content=buffer97d50&amp;utm_medium=social&amp;utm_source=twitter.com&amp;utm_campaign=buffer")</f>
        <v>https://techcrunch.com/2021/09/27/new-age-meats-bites-into-25m-for-cultured-meat-product-line-development/?utm_content=buffer97d50&amp;utm_medium=social&amp;utm_source=twitter.com&amp;utm_campaign=buffer</v>
      </c>
      <c r="S174" s="80" t="s">
        <v>544</v>
      </c>
      <c r="T174" s="83" t="s">
        <v>564</v>
      </c>
      <c r="U174" s="80"/>
      <c r="V174" s="85" t="str">
        <f>HYPERLINK("https://pbs.twimg.com/profile_images/1207023594204741634/oNEPNuoG_normal.jpg")</f>
        <v>https://pbs.twimg.com/profile_images/1207023594204741634/oNEPNuoG_normal.jpg</v>
      </c>
      <c r="W174" s="82">
        <v>44476.84611111111</v>
      </c>
      <c r="X174" s="87">
        <v>44476</v>
      </c>
      <c r="Y174" s="83" t="s">
        <v>734</v>
      </c>
      <c r="Z174" s="85" t="str">
        <f>HYPERLINK("https://twitter.com/craftmeati/status/1446208307589484555")</f>
        <v>https://twitter.com/craftmeati/status/1446208307589484555</v>
      </c>
      <c r="AA174" s="80"/>
      <c r="AB174" s="80"/>
      <c r="AC174" s="83" t="s">
        <v>921</v>
      </c>
      <c r="AD174" s="80"/>
      <c r="AE174" s="80" t="b">
        <v>0</v>
      </c>
      <c r="AF174" s="80">
        <v>0</v>
      </c>
      <c r="AG174" s="83" t="s">
        <v>952</v>
      </c>
      <c r="AH174" s="80" t="b">
        <v>0</v>
      </c>
      <c r="AI174" s="80" t="s">
        <v>967</v>
      </c>
      <c r="AJ174" s="80"/>
      <c r="AK174" s="83" t="s">
        <v>952</v>
      </c>
      <c r="AL174" s="80" t="b">
        <v>0</v>
      </c>
      <c r="AM174" s="80">
        <v>1</v>
      </c>
      <c r="AN174" s="83" t="s">
        <v>934</v>
      </c>
      <c r="AO174" s="83" t="s">
        <v>972</v>
      </c>
      <c r="AP174" s="80" t="b">
        <v>0</v>
      </c>
      <c r="AQ174" s="83" t="s">
        <v>934</v>
      </c>
      <c r="AR174" s="80" t="s">
        <v>196</v>
      </c>
      <c r="AS174" s="80">
        <v>0</v>
      </c>
      <c r="AT174" s="80">
        <v>0</v>
      </c>
      <c r="AU174" s="80"/>
      <c r="AV174" s="80"/>
      <c r="AW174" s="80"/>
      <c r="AX174" s="80"/>
      <c r="AY174" s="80"/>
      <c r="AZ174" s="80"/>
      <c r="BA174" s="80"/>
      <c r="BB174" s="80"/>
      <c r="BC174">
        <v>1</v>
      </c>
      <c r="BD174" s="79" t="str">
        <f>REPLACE(INDEX(GroupVertices[Group],MATCH(Edges25[[#This Row],[Vertex 1]],GroupVertices[Vertex],0)),1,1,"")</f>
        <v>3</v>
      </c>
      <c r="BE174" s="79" t="str">
        <f>REPLACE(INDEX(GroupVertices[Group],MATCH(Edges25[[#This Row],[Vertex 2]],GroupVertices[Vertex],0)),1,1,"")</f>
        <v>10</v>
      </c>
      <c r="BF174" s="49">
        <v>0</v>
      </c>
      <c r="BG174" s="50">
        <v>0</v>
      </c>
      <c r="BH174" s="49">
        <v>0</v>
      </c>
      <c r="BI174" s="50">
        <v>0</v>
      </c>
      <c r="BJ174" s="49">
        <v>0</v>
      </c>
      <c r="BK174" s="50">
        <v>0</v>
      </c>
      <c r="BL174" s="49">
        <v>29</v>
      </c>
      <c r="BM174" s="50">
        <v>100</v>
      </c>
      <c r="BN174" s="49">
        <v>29</v>
      </c>
    </row>
    <row r="175" spans="1:66" ht="15">
      <c r="A175" s="65" t="s">
        <v>354</v>
      </c>
      <c r="B175" s="65" t="s">
        <v>354</v>
      </c>
      <c r="C175" s="66"/>
      <c r="D175" s="67"/>
      <c r="E175" s="66"/>
      <c r="F175" s="69"/>
      <c r="G175" s="66"/>
      <c r="H175" s="70"/>
      <c r="I175" s="71"/>
      <c r="J175" s="71"/>
      <c r="K175" s="35" t="s">
        <v>65</v>
      </c>
      <c r="L175" s="72">
        <v>401</v>
      </c>
      <c r="M175" s="72"/>
      <c r="N175" s="73"/>
      <c r="O175" s="80" t="s">
        <v>196</v>
      </c>
      <c r="P175" s="82">
        <v>44481.490335648145</v>
      </c>
      <c r="Q175" s="80" t="s">
        <v>501</v>
      </c>
      <c r="R175" s="85" t="str">
        <f>HYPERLINK("https://financialpost.com/commodities/agriculture/126-hamburger-a-bit-steep-vancouver-venture-capitalist-joins-race-to-bring-lab-meats-to-your-table/wcm/605223e1-8ec3-4479-9950-8da527e4da0e/amp/")</f>
        <v>https://financialpost.com/commodities/agriculture/126-hamburger-a-bit-steep-vancouver-venture-capitalist-joins-race-to-bring-lab-meats-to-your-table/wcm/605223e1-8ec3-4479-9950-8da527e4da0e/amp/</v>
      </c>
      <c r="S175" s="80" t="s">
        <v>545</v>
      </c>
      <c r="T175" s="80"/>
      <c r="U175" s="80"/>
      <c r="V175" s="85" t="str">
        <f>HYPERLINK("https://pbs.twimg.com/profile_images/1447420542437531648/PmDVadZY_normal.jpg")</f>
        <v>https://pbs.twimg.com/profile_images/1447420542437531648/PmDVadZY_normal.jpg</v>
      </c>
      <c r="W175" s="82">
        <v>44481.490335648145</v>
      </c>
      <c r="X175" s="87">
        <v>44481</v>
      </c>
      <c r="Y175" s="83" t="s">
        <v>735</v>
      </c>
      <c r="Z175" s="85" t="str">
        <f>HYPERLINK("https://twitter.com/ryanbethencourt/status/1447891316399030276")</f>
        <v>https://twitter.com/ryanbethencourt/status/1447891316399030276</v>
      </c>
      <c r="AA175" s="80"/>
      <c r="AB175" s="80"/>
      <c r="AC175" s="83" t="s">
        <v>922</v>
      </c>
      <c r="AD175" s="80"/>
      <c r="AE175" s="80" t="b">
        <v>0</v>
      </c>
      <c r="AF175" s="80">
        <v>1</v>
      </c>
      <c r="AG175" s="83" t="s">
        <v>952</v>
      </c>
      <c r="AH175" s="80" t="b">
        <v>0</v>
      </c>
      <c r="AI175" s="80" t="s">
        <v>967</v>
      </c>
      <c r="AJ175" s="80"/>
      <c r="AK175" s="83" t="s">
        <v>952</v>
      </c>
      <c r="AL175" s="80" t="b">
        <v>0</v>
      </c>
      <c r="AM175" s="80">
        <v>0</v>
      </c>
      <c r="AN175" s="83" t="s">
        <v>952</v>
      </c>
      <c r="AO175" s="83" t="s">
        <v>976</v>
      </c>
      <c r="AP175" s="80" t="b">
        <v>0</v>
      </c>
      <c r="AQ175" s="83" t="s">
        <v>922</v>
      </c>
      <c r="AR175" s="80" t="s">
        <v>196</v>
      </c>
      <c r="AS175" s="80">
        <v>0</v>
      </c>
      <c r="AT175" s="80">
        <v>0</v>
      </c>
      <c r="AU175" s="80"/>
      <c r="AV175" s="80"/>
      <c r="AW175" s="80"/>
      <c r="AX175" s="80"/>
      <c r="AY175" s="80"/>
      <c r="AZ175" s="80"/>
      <c r="BA175" s="80"/>
      <c r="BB175" s="80"/>
      <c r="BC175">
        <v>1</v>
      </c>
      <c r="BD175" s="79" t="str">
        <f>REPLACE(INDEX(GroupVertices[Group],MATCH(Edges25[[#This Row],[Vertex 1]],GroupVertices[Vertex],0)),1,1,"")</f>
        <v>2</v>
      </c>
      <c r="BE175" s="79" t="str">
        <f>REPLACE(INDEX(GroupVertices[Group],MATCH(Edges25[[#This Row],[Vertex 2]],GroupVertices[Vertex],0)),1,1,"")</f>
        <v>2</v>
      </c>
      <c r="BF175" s="49">
        <v>0</v>
      </c>
      <c r="BG175" s="50">
        <v>0</v>
      </c>
      <c r="BH175" s="49">
        <v>0</v>
      </c>
      <c r="BI175" s="50">
        <v>0</v>
      </c>
      <c r="BJ175" s="49">
        <v>0</v>
      </c>
      <c r="BK175" s="50">
        <v>0</v>
      </c>
      <c r="BL175" s="49">
        <v>7</v>
      </c>
      <c r="BM175" s="50">
        <v>100</v>
      </c>
      <c r="BN175" s="49">
        <v>7</v>
      </c>
    </row>
    <row r="176" spans="1:66" ht="15">
      <c r="A176" s="65" t="s">
        <v>355</v>
      </c>
      <c r="B176" s="65" t="s">
        <v>365</v>
      </c>
      <c r="C176" s="66"/>
      <c r="D176" s="67"/>
      <c r="E176" s="66"/>
      <c r="F176" s="69"/>
      <c r="G176" s="66"/>
      <c r="H176" s="70"/>
      <c r="I176" s="71"/>
      <c r="J176" s="71"/>
      <c r="K176" s="35" t="s">
        <v>65</v>
      </c>
      <c r="L176" s="72">
        <v>402</v>
      </c>
      <c r="M176" s="72"/>
      <c r="N176" s="73"/>
      <c r="O176" s="80" t="s">
        <v>407</v>
      </c>
      <c r="P176" s="82">
        <v>44481.60556712963</v>
      </c>
      <c r="Q176" s="80" t="s">
        <v>502</v>
      </c>
      <c r="R176"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176" s="80" t="s">
        <v>546</v>
      </c>
      <c r="T176" s="83" t="s">
        <v>565</v>
      </c>
      <c r="U176" s="80"/>
      <c r="V176" s="85" t="str">
        <f>HYPERLINK("https://pbs.twimg.com/profile_images/1432380149824212994/ozjnG5o3_normal.jpg")</f>
        <v>https://pbs.twimg.com/profile_images/1432380149824212994/ozjnG5o3_normal.jpg</v>
      </c>
      <c r="W176" s="82">
        <v>44481.60556712963</v>
      </c>
      <c r="X176" s="87">
        <v>44481</v>
      </c>
      <c r="Y176" s="83" t="s">
        <v>736</v>
      </c>
      <c r="Z176" s="85" t="str">
        <f>HYPERLINK("https://twitter.com/stevecjjones/status/1447933077775323137")</f>
        <v>https://twitter.com/stevecjjones/status/1447933077775323137</v>
      </c>
      <c r="AA176" s="80"/>
      <c r="AB176" s="80"/>
      <c r="AC176" s="83" t="s">
        <v>923</v>
      </c>
      <c r="AD176" s="80"/>
      <c r="AE176" s="80" t="b">
        <v>0</v>
      </c>
      <c r="AF176" s="80">
        <v>0</v>
      </c>
      <c r="AG176" s="83" t="s">
        <v>952</v>
      </c>
      <c r="AH176" s="80" t="b">
        <v>0</v>
      </c>
      <c r="AI176" s="80" t="s">
        <v>967</v>
      </c>
      <c r="AJ176" s="80"/>
      <c r="AK176" s="83" t="s">
        <v>952</v>
      </c>
      <c r="AL176" s="80" t="b">
        <v>0</v>
      </c>
      <c r="AM176" s="80">
        <v>4</v>
      </c>
      <c r="AN176" s="83" t="s">
        <v>935</v>
      </c>
      <c r="AO176" s="83" t="s">
        <v>972</v>
      </c>
      <c r="AP176" s="80" t="b">
        <v>0</v>
      </c>
      <c r="AQ176" s="83" t="s">
        <v>935</v>
      </c>
      <c r="AR176" s="80" t="s">
        <v>196</v>
      </c>
      <c r="AS176" s="80">
        <v>0</v>
      </c>
      <c r="AT176" s="80">
        <v>0</v>
      </c>
      <c r="AU176" s="80"/>
      <c r="AV176" s="80"/>
      <c r="AW176" s="80"/>
      <c r="AX176" s="80"/>
      <c r="AY176" s="80"/>
      <c r="AZ176" s="80"/>
      <c r="BA176" s="80"/>
      <c r="BB176" s="80"/>
      <c r="BC176">
        <v>1</v>
      </c>
      <c r="BD176" s="79" t="str">
        <f>REPLACE(INDEX(GroupVertices[Group],MATCH(Edges25[[#This Row],[Vertex 1]],GroupVertices[Vertex],0)),1,1,"")</f>
        <v>10</v>
      </c>
      <c r="BE176" s="79" t="str">
        <f>REPLACE(INDEX(GroupVertices[Group],MATCH(Edges25[[#This Row],[Vertex 2]],GroupVertices[Vertex],0)),1,1,"")</f>
        <v>10</v>
      </c>
      <c r="BF176" s="49">
        <v>1</v>
      </c>
      <c r="BG176" s="50">
        <v>2.6315789473684212</v>
      </c>
      <c r="BH176" s="49">
        <v>0</v>
      </c>
      <c r="BI176" s="50">
        <v>0</v>
      </c>
      <c r="BJ176" s="49">
        <v>0</v>
      </c>
      <c r="BK176" s="50">
        <v>0</v>
      </c>
      <c r="BL176" s="49">
        <v>37</v>
      </c>
      <c r="BM176" s="50">
        <v>97.36842105263158</v>
      </c>
      <c r="BN176" s="49">
        <v>38</v>
      </c>
    </row>
    <row r="177" spans="1:66" ht="15">
      <c r="A177" s="65" t="s">
        <v>356</v>
      </c>
      <c r="B177" s="65" t="s">
        <v>365</v>
      </c>
      <c r="C177" s="66"/>
      <c r="D177" s="67"/>
      <c r="E177" s="66"/>
      <c r="F177" s="69"/>
      <c r="G177" s="66"/>
      <c r="H177" s="70"/>
      <c r="I177" s="71"/>
      <c r="J177" s="71"/>
      <c r="K177" s="35" t="s">
        <v>65</v>
      </c>
      <c r="L177" s="72">
        <v>404</v>
      </c>
      <c r="M177" s="72"/>
      <c r="N177" s="73"/>
      <c r="O177" s="80" t="s">
        <v>407</v>
      </c>
      <c r="P177" s="82">
        <v>44481.60821759259</v>
      </c>
      <c r="Q177" s="80" t="s">
        <v>502</v>
      </c>
      <c r="R177"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177" s="80" t="s">
        <v>546</v>
      </c>
      <c r="T177" s="83" t="s">
        <v>565</v>
      </c>
      <c r="U177" s="80"/>
      <c r="V177" s="85" t="str">
        <f>HYPERLINK("https://pbs.twimg.com/profile_images/1292852962075660289/2eauCFBV_normal.jpg")</f>
        <v>https://pbs.twimg.com/profile_images/1292852962075660289/2eauCFBV_normal.jpg</v>
      </c>
      <c r="W177" s="82">
        <v>44481.60821759259</v>
      </c>
      <c r="X177" s="87">
        <v>44481</v>
      </c>
      <c r="Y177" s="83" t="s">
        <v>737</v>
      </c>
      <c r="Z177" s="85" t="str">
        <f>HYPERLINK("https://twitter.com/midoriecosystem/status/1447934038086406144")</f>
        <v>https://twitter.com/midoriecosystem/status/1447934038086406144</v>
      </c>
      <c r="AA177" s="80"/>
      <c r="AB177" s="80"/>
      <c r="AC177" s="83" t="s">
        <v>924</v>
      </c>
      <c r="AD177" s="80"/>
      <c r="AE177" s="80" t="b">
        <v>0</v>
      </c>
      <c r="AF177" s="80">
        <v>0</v>
      </c>
      <c r="AG177" s="83" t="s">
        <v>952</v>
      </c>
      <c r="AH177" s="80" t="b">
        <v>0</v>
      </c>
      <c r="AI177" s="80" t="s">
        <v>967</v>
      </c>
      <c r="AJ177" s="80"/>
      <c r="AK177" s="83" t="s">
        <v>952</v>
      </c>
      <c r="AL177" s="80" t="b">
        <v>0</v>
      </c>
      <c r="AM177" s="80">
        <v>4</v>
      </c>
      <c r="AN177" s="83" t="s">
        <v>935</v>
      </c>
      <c r="AO177" s="83" t="s">
        <v>993</v>
      </c>
      <c r="AP177" s="80" t="b">
        <v>0</v>
      </c>
      <c r="AQ177" s="83" t="s">
        <v>935</v>
      </c>
      <c r="AR177" s="80" t="s">
        <v>196</v>
      </c>
      <c r="AS177" s="80">
        <v>0</v>
      </c>
      <c r="AT177" s="80">
        <v>0</v>
      </c>
      <c r="AU177" s="80"/>
      <c r="AV177" s="80"/>
      <c r="AW177" s="80"/>
      <c r="AX177" s="80"/>
      <c r="AY177" s="80"/>
      <c r="AZ177" s="80"/>
      <c r="BA177" s="80"/>
      <c r="BB177" s="80"/>
      <c r="BC177">
        <v>1</v>
      </c>
      <c r="BD177" s="79" t="str">
        <f>REPLACE(INDEX(GroupVertices[Group],MATCH(Edges25[[#This Row],[Vertex 1]],GroupVertices[Vertex],0)),1,1,"")</f>
        <v>10</v>
      </c>
      <c r="BE177" s="79" t="str">
        <f>REPLACE(INDEX(GroupVertices[Group],MATCH(Edges25[[#This Row],[Vertex 2]],GroupVertices[Vertex],0)),1,1,"")</f>
        <v>10</v>
      </c>
      <c r="BF177" s="49"/>
      <c r="BG177" s="50"/>
      <c r="BH177" s="49"/>
      <c r="BI177" s="50"/>
      <c r="BJ177" s="49"/>
      <c r="BK177" s="50"/>
      <c r="BL177" s="49"/>
      <c r="BM177" s="50"/>
      <c r="BN177" s="49"/>
    </row>
    <row r="178" spans="1:66" ht="15">
      <c r="A178" s="65" t="s">
        <v>357</v>
      </c>
      <c r="B178" s="65" t="s">
        <v>365</v>
      </c>
      <c r="C178" s="66"/>
      <c r="D178" s="67"/>
      <c r="E178" s="66"/>
      <c r="F178" s="69"/>
      <c r="G178" s="66"/>
      <c r="H178" s="70"/>
      <c r="I178" s="71"/>
      <c r="J178" s="71"/>
      <c r="K178" s="35" t="s">
        <v>65</v>
      </c>
      <c r="L178" s="72">
        <v>406</v>
      </c>
      <c r="M178" s="72"/>
      <c r="N178" s="73"/>
      <c r="O178" s="80" t="s">
        <v>407</v>
      </c>
      <c r="P178" s="82">
        <v>44481.61263888889</v>
      </c>
      <c r="Q178" s="80" t="s">
        <v>502</v>
      </c>
      <c r="R178"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178" s="80" t="s">
        <v>546</v>
      </c>
      <c r="T178" s="83" t="s">
        <v>565</v>
      </c>
      <c r="U178" s="80"/>
      <c r="V178" s="85" t="str">
        <f>HYPERLINK("https://pbs.twimg.com/profile_images/1107382866168725504/bPI0qCwA_normal.jpg")</f>
        <v>https://pbs.twimg.com/profile_images/1107382866168725504/bPI0qCwA_normal.jpg</v>
      </c>
      <c r="W178" s="82">
        <v>44481.61263888889</v>
      </c>
      <c r="X178" s="87">
        <v>44481</v>
      </c>
      <c r="Y178" s="83" t="s">
        <v>738</v>
      </c>
      <c r="Z178" s="85" t="str">
        <f>HYPERLINK("https://twitter.com/rexjeanna/status/1447935638871986182")</f>
        <v>https://twitter.com/rexjeanna/status/1447935638871986182</v>
      </c>
      <c r="AA178" s="80"/>
      <c r="AB178" s="80"/>
      <c r="AC178" s="83" t="s">
        <v>925</v>
      </c>
      <c r="AD178" s="80"/>
      <c r="AE178" s="80" t="b">
        <v>0</v>
      </c>
      <c r="AF178" s="80">
        <v>0</v>
      </c>
      <c r="AG178" s="83" t="s">
        <v>952</v>
      </c>
      <c r="AH178" s="80" t="b">
        <v>0</v>
      </c>
      <c r="AI178" s="80" t="s">
        <v>967</v>
      </c>
      <c r="AJ178" s="80"/>
      <c r="AK178" s="83" t="s">
        <v>952</v>
      </c>
      <c r="AL178" s="80" t="b">
        <v>0</v>
      </c>
      <c r="AM178" s="80">
        <v>4</v>
      </c>
      <c r="AN178" s="83" t="s">
        <v>935</v>
      </c>
      <c r="AO178" s="83" t="s">
        <v>972</v>
      </c>
      <c r="AP178" s="80" t="b">
        <v>0</v>
      </c>
      <c r="AQ178" s="83" t="s">
        <v>935</v>
      </c>
      <c r="AR178" s="80" t="s">
        <v>196</v>
      </c>
      <c r="AS178" s="80">
        <v>0</v>
      </c>
      <c r="AT178" s="80">
        <v>0</v>
      </c>
      <c r="AU178" s="80"/>
      <c r="AV178" s="80"/>
      <c r="AW178" s="80"/>
      <c r="AX178" s="80"/>
      <c r="AY178" s="80"/>
      <c r="AZ178" s="80"/>
      <c r="BA178" s="80"/>
      <c r="BB178" s="80"/>
      <c r="BC178">
        <v>1</v>
      </c>
      <c r="BD178" s="79" t="str">
        <f>REPLACE(INDEX(GroupVertices[Group],MATCH(Edges25[[#This Row],[Vertex 1]],GroupVertices[Vertex],0)),1,1,"")</f>
        <v>10</v>
      </c>
      <c r="BE178" s="79" t="str">
        <f>REPLACE(INDEX(GroupVertices[Group],MATCH(Edges25[[#This Row],[Vertex 2]],GroupVertices[Vertex],0)),1,1,"")</f>
        <v>10</v>
      </c>
      <c r="BF178" s="49"/>
      <c r="BG178" s="50"/>
      <c r="BH178" s="49"/>
      <c r="BI178" s="50"/>
      <c r="BJ178" s="49"/>
      <c r="BK178" s="50"/>
      <c r="BL178" s="49"/>
      <c r="BM178" s="50"/>
      <c r="BN178" s="49"/>
    </row>
    <row r="179" spans="1:66" ht="15">
      <c r="A179" s="65" t="s">
        <v>358</v>
      </c>
      <c r="B179" s="65" t="s">
        <v>373</v>
      </c>
      <c r="C179" s="66"/>
      <c r="D179" s="67"/>
      <c r="E179" s="66"/>
      <c r="F179" s="69"/>
      <c r="G179" s="66"/>
      <c r="H179" s="70"/>
      <c r="I179" s="71"/>
      <c r="J179" s="71"/>
      <c r="K179" s="35" t="s">
        <v>65</v>
      </c>
      <c r="L179" s="72">
        <v>408</v>
      </c>
      <c r="M179" s="72"/>
      <c r="N179" s="73"/>
      <c r="O179" s="80" t="s">
        <v>406</v>
      </c>
      <c r="P179" s="82">
        <v>44481.656331018516</v>
      </c>
      <c r="Q179" s="80" t="s">
        <v>503</v>
      </c>
      <c r="R179" s="85" t="str">
        <f>HYPERLINK("https://www.linkedin.com/pulse/why-you-should-keep-your-eye-cell-based-meat-kory-zelickson-/")</f>
        <v>https://www.linkedin.com/pulse/why-you-should-keep-your-eye-cell-based-meat-kory-zelickson-/</v>
      </c>
      <c r="S179" s="80" t="s">
        <v>522</v>
      </c>
      <c r="T179" s="83" t="s">
        <v>566</v>
      </c>
      <c r="U179" s="80"/>
      <c r="V179" s="85" t="str">
        <f>HYPERLINK("https://pbs.twimg.com/profile_images/1364041291755974661/67okjKhI_normal.jpg")</f>
        <v>https://pbs.twimg.com/profile_images/1364041291755974661/67okjKhI_normal.jpg</v>
      </c>
      <c r="W179" s="82">
        <v>44481.656331018516</v>
      </c>
      <c r="X179" s="87">
        <v>44481</v>
      </c>
      <c r="Y179" s="83" t="s">
        <v>739</v>
      </c>
      <c r="Z179" s="85" t="str">
        <f>HYPERLINK("https://twitter.com/kzelickson/status/1447951472457666562")</f>
        <v>https://twitter.com/kzelickson/status/1447951472457666562</v>
      </c>
      <c r="AA179" s="80"/>
      <c r="AB179" s="80"/>
      <c r="AC179" s="83" t="s">
        <v>926</v>
      </c>
      <c r="AD179" s="80"/>
      <c r="AE179" s="80" t="b">
        <v>0</v>
      </c>
      <c r="AF179" s="80">
        <v>2</v>
      </c>
      <c r="AG179" s="83" t="s">
        <v>952</v>
      </c>
      <c r="AH179" s="80" t="b">
        <v>0</v>
      </c>
      <c r="AI179" s="80" t="s">
        <v>967</v>
      </c>
      <c r="AJ179" s="80"/>
      <c r="AK179" s="83" t="s">
        <v>952</v>
      </c>
      <c r="AL179" s="80" t="b">
        <v>0</v>
      </c>
      <c r="AM179" s="80">
        <v>0</v>
      </c>
      <c r="AN179" s="83" t="s">
        <v>952</v>
      </c>
      <c r="AO179" s="83" t="s">
        <v>975</v>
      </c>
      <c r="AP179" s="80" t="b">
        <v>0</v>
      </c>
      <c r="AQ179" s="83" t="s">
        <v>926</v>
      </c>
      <c r="AR179" s="80" t="s">
        <v>196</v>
      </c>
      <c r="AS179" s="80">
        <v>0</v>
      </c>
      <c r="AT179" s="80">
        <v>0</v>
      </c>
      <c r="AU179" s="80"/>
      <c r="AV179" s="80"/>
      <c r="AW179" s="80"/>
      <c r="AX179" s="80"/>
      <c r="AY179" s="80"/>
      <c r="AZ179" s="80"/>
      <c r="BA179" s="80"/>
      <c r="BB179" s="80"/>
      <c r="BC179">
        <v>1</v>
      </c>
      <c r="BD179" s="79" t="str">
        <f>REPLACE(INDEX(GroupVertices[Group],MATCH(Edges25[[#This Row],[Vertex 1]],GroupVertices[Vertex],0)),1,1,"")</f>
        <v>6</v>
      </c>
      <c r="BE179" s="79" t="str">
        <f>REPLACE(INDEX(GroupVertices[Group],MATCH(Edges25[[#This Row],[Vertex 2]],GroupVertices[Vertex],0)),1,1,"")</f>
        <v>6</v>
      </c>
      <c r="BF179" s="49"/>
      <c r="BG179" s="50"/>
      <c r="BH179" s="49"/>
      <c r="BI179" s="50"/>
      <c r="BJ179" s="49"/>
      <c r="BK179" s="50"/>
      <c r="BL179" s="49"/>
      <c r="BM179" s="50"/>
      <c r="BN179" s="49"/>
    </row>
    <row r="180" spans="1:66" ht="15">
      <c r="A180" s="65" t="s">
        <v>359</v>
      </c>
      <c r="B180" s="65" t="s">
        <v>258</v>
      </c>
      <c r="C180" s="66"/>
      <c r="D180" s="67"/>
      <c r="E180" s="66"/>
      <c r="F180" s="69"/>
      <c r="G180" s="66"/>
      <c r="H180" s="70"/>
      <c r="I180" s="71"/>
      <c r="J180" s="71"/>
      <c r="K180" s="35" t="s">
        <v>65</v>
      </c>
      <c r="L180" s="72">
        <v>411</v>
      </c>
      <c r="M180" s="72"/>
      <c r="N180" s="73"/>
      <c r="O180" s="80" t="s">
        <v>406</v>
      </c>
      <c r="P180" s="82">
        <v>44481.735185185185</v>
      </c>
      <c r="Q180" s="80" t="s">
        <v>504</v>
      </c>
      <c r="R180" s="80"/>
      <c r="S180" s="80"/>
      <c r="T180" s="80"/>
      <c r="U180" s="80"/>
      <c r="V180" s="85" t="str">
        <f>HYPERLINK("https://pbs.twimg.com/profile_images/1349953202402197506/8cqA-Ycg_normal.jpg")</f>
        <v>https://pbs.twimg.com/profile_images/1349953202402197506/8cqA-Ycg_normal.jpg</v>
      </c>
      <c r="W180" s="82">
        <v>44481.735185185185</v>
      </c>
      <c r="X180" s="87">
        <v>44481</v>
      </c>
      <c r="Y180" s="83" t="s">
        <v>740</v>
      </c>
      <c r="Z180" s="85" t="str">
        <f>HYPERLINK("https://twitter.com/charlie_runners/status/1447980049055961093")</f>
        <v>https://twitter.com/charlie_runners/status/1447980049055961093</v>
      </c>
      <c r="AA180" s="80"/>
      <c r="AB180" s="80"/>
      <c r="AC180" s="83" t="s">
        <v>927</v>
      </c>
      <c r="AD180" s="83" t="s">
        <v>950</v>
      </c>
      <c r="AE180" s="80" t="b">
        <v>0</v>
      </c>
      <c r="AF180" s="80">
        <v>2</v>
      </c>
      <c r="AG180" s="83" t="s">
        <v>965</v>
      </c>
      <c r="AH180" s="80" t="b">
        <v>0</v>
      </c>
      <c r="AI180" s="80" t="s">
        <v>967</v>
      </c>
      <c r="AJ180" s="80"/>
      <c r="AK180" s="83" t="s">
        <v>952</v>
      </c>
      <c r="AL180" s="80" t="b">
        <v>0</v>
      </c>
      <c r="AM180" s="80">
        <v>0</v>
      </c>
      <c r="AN180" s="83" t="s">
        <v>952</v>
      </c>
      <c r="AO180" s="83" t="s">
        <v>972</v>
      </c>
      <c r="AP180" s="80" t="b">
        <v>0</v>
      </c>
      <c r="AQ180" s="83" t="s">
        <v>950</v>
      </c>
      <c r="AR180" s="80" t="s">
        <v>196</v>
      </c>
      <c r="AS180" s="80">
        <v>0</v>
      </c>
      <c r="AT180" s="80">
        <v>0</v>
      </c>
      <c r="AU180" s="80"/>
      <c r="AV180" s="80"/>
      <c r="AW180" s="80"/>
      <c r="AX180" s="80"/>
      <c r="AY180" s="80"/>
      <c r="AZ180" s="80"/>
      <c r="BA180" s="80"/>
      <c r="BB180" s="80"/>
      <c r="BC180">
        <v>1</v>
      </c>
      <c r="BD180" s="79" t="str">
        <f>REPLACE(INDEX(GroupVertices[Group],MATCH(Edges25[[#This Row],[Vertex 1]],GroupVertices[Vertex],0)),1,1,"")</f>
        <v>5</v>
      </c>
      <c r="BE180" s="79" t="str">
        <f>REPLACE(INDEX(GroupVertices[Group],MATCH(Edges25[[#This Row],[Vertex 2]],GroupVertices[Vertex],0)),1,1,"")</f>
        <v>5</v>
      </c>
      <c r="BF180" s="49">
        <v>1</v>
      </c>
      <c r="BG180" s="50">
        <v>2.2222222222222223</v>
      </c>
      <c r="BH180" s="49">
        <v>0</v>
      </c>
      <c r="BI180" s="50">
        <v>0</v>
      </c>
      <c r="BJ180" s="49">
        <v>0</v>
      </c>
      <c r="BK180" s="50">
        <v>0</v>
      </c>
      <c r="BL180" s="49">
        <v>44</v>
      </c>
      <c r="BM180" s="50">
        <v>97.77777777777777</v>
      </c>
      <c r="BN180" s="49">
        <v>45</v>
      </c>
    </row>
    <row r="181" spans="1:66" ht="15">
      <c r="A181" s="65" t="s">
        <v>359</v>
      </c>
      <c r="B181" s="65" t="s">
        <v>359</v>
      </c>
      <c r="C181" s="66"/>
      <c r="D181" s="67"/>
      <c r="E181" s="66"/>
      <c r="F181" s="69"/>
      <c r="G181" s="66"/>
      <c r="H181" s="70"/>
      <c r="I181" s="71"/>
      <c r="J181" s="71"/>
      <c r="K181" s="35" t="s">
        <v>65</v>
      </c>
      <c r="L181" s="72">
        <v>412</v>
      </c>
      <c r="M181" s="72"/>
      <c r="N181" s="73"/>
      <c r="O181" s="80" t="s">
        <v>196</v>
      </c>
      <c r="P181" s="82">
        <v>44480.979791666665</v>
      </c>
      <c r="Q181" s="80" t="s">
        <v>505</v>
      </c>
      <c r="R181" s="85" t="str">
        <f>HYPERLINK("https://www.frontiersin.org/articles/10.3389/fsufs.2021.744199/full?utm_source=S-TWT&amp;utm_medium=SNET&amp;utm_campaign=ECO_FSUSTAIN_XXXXXXXX_auto-dlvrit")</f>
        <v>https://www.frontiersin.org/articles/10.3389/fsufs.2021.744199/full?utm_source=S-TWT&amp;utm_medium=SNET&amp;utm_campaign=ECO_FSUSTAIN_XXXXXXXX_auto-dlvrit</v>
      </c>
      <c r="S181" s="80" t="s">
        <v>547</v>
      </c>
      <c r="T181" s="80"/>
      <c r="U181" s="80"/>
      <c r="V181" s="85" t="str">
        <f>HYPERLINK("https://pbs.twimg.com/profile_images/1349953202402197506/8cqA-Ycg_normal.jpg")</f>
        <v>https://pbs.twimg.com/profile_images/1349953202402197506/8cqA-Ycg_normal.jpg</v>
      </c>
      <c r="W181" s="82">
        <v>44480.979791666665</v>
      </c>
      <c r="X181" s="87">
        <v>44480</v>
      </c>
      <c r="Y181" s="83" t="s">
        <v>741</v>
      </c>
      <c r="Z181" s="85" t="str">
        <f>HYPERLINK("https://twitter.com/charlie_runners/status/1447706302373777408")</f>
        <v>https://twitter.com/charlie_runners/status/1447706302373777408</v>
      </c>
      <c r="AA181" s="80"/>
      <c r="AB181" s="80"/>
      <c r="AC181" s="83" t="s">
        <v>928</v>
      </c>
      <c r="AD181" s="80"/>
      <c r="AE181" s="80" t="b">
        <v>0</v>
      </c>
      <c r="AF181" s="80">
        <v>0</v>
      </c>
      <c r="AG181" s="83" t="s">
        <v>952</v>
      </c>
      <c r="AH181" s="80" t="b">
        <v>0</v>
      </c>
      <c r="AI181" s="80" t="s">
        <v>967</v>
      </c>
      <c r="AJ181" s="80"/>
      <c r="AK181" s="83" t="s">
        <v>952</v>
      </c>
      <c r="AL181" s="80" t="b">
        <v>0</v>
      </c>
      <c r="AM181" s="80">
        <v>0</v>
      </c>
      <c r="AN181" s="83" t="s">
        <v>952</v>
      </c>
      <c r="AO181" s="83" t="s">
        <v>972</v>
      </c>
      <c r="AP181" s="80" t="b">
        <v>0</v>
      </c>
      <c r="AQ181" s="83" t="s">
        <v>928</v>
      </c>
      <c r="AR181" s="80" t="s">
        <v>196</v>
      </c>
      <c r="AS181" s="80">
        <v>0</v>
      </c>
      <c r="AT181" s="80">
        <v>0</v>
      </c>
      <c r="AU181" s="80"/>
      <c r="AV181" s="80"/>
      <c r="AW181" s="80"/>
      <c r="AX181" s="80"/>
      <c r="AY181" s="80"/>
      <c r="AZ181" s="80"/>
      <c r="BA181" s="80"/>
      <c r="BB181" s="80"/>
      <c r="BC181">
        <v>1</v>
      </c>
      <c r="BD181" s="79" t="str">
        <f>REPLACE(INDEX(GroupVertices[Group],MATCH(Edges25[[#This Row],[Vertex 1]],GroupVertices[Vertex],0)),1,1,"")</f>
        <v>5</v>
      </c>
      <c r="BE181" s="79" t="str">
        <f>REPLACE(INDEX(GroupVertices[Group],MATCH(Edges25[[#This Row],[Vertex 2]],GroupVertices[Vertex],0)),1,1,"")</f>
        <v>5</v>
      </c>
      <c r="BF181" s="49">
        <v>2</v>
      </c>
      <c r="BG181" s="50">
        <v>4.761904761904762</v>
      </c>
      <c r="BH181" s="49">
        <v>0</v>
      </c>
      <c r="BI181" s="50">
        <v>0</v>
      </c>
      <c r="BJ181" s="49">
        <v>0</v>
      </c>
      <c r="BK181" s="50">
        <v>0</v>
      </c>
      <c r="BL181" s="49">
        <v>40</v>
      </c>
      <c r="BM181" s="50">
        <v>95.23809523809524</v>
      </c>
      <c r="BN181" s="49">
        <v>42</v>
      </c>
    </row>
    <row r="182" spans="1:66" ht="15">
      <c r="A182" s="65" t="s">
        <v>360</v>
      </c>
      <c r="B182" s="65" t="s">
        <v>405</v>
      </c>
      <c r="C182" s="66"/>
      <c r="D182" s="67"/>
      <c r="E182" s="66"/>
      <c r="F182" s="69"/>
      <c r="G182" s="66"/>
      <c r="H182" s="70"/>
      <c r="I182" s="71"/>
      <c r="J182" s="71"/>
      <c r="K182" s="35" t="s">
        <v>65</v>
      </c>
      <c r="L182" s="72">
        <v>413</v>
      </c>
      <c r="M182" s="72"/>
      <c r="N182" s="73"/>
      <c r="O182" s="80" t="s">
        <v>409</v>
      </c>
      <c r="P182" s="82">
        <v>44481.735601851855</v>
      </c>
      <c r="Q182" s="80" t="s">
        <v>506</v>
      </c>
      <c r="R182" s="80"/>
      <c r="S182" s="80"/>
      <c r="T182" s="80"/>
      <c r="U182" s="80"/>
      <c r="V182" s="85" t="str">
        <f>HYPERLINK("https://pbs.twimg.com/profile_images/1196826670185033733/ofstaVMj_normal.jpg")</f>
        <v>https://pbs.twimg.com/profile_images/1196826670185033733/ofstaVMj_normal.jpg</v>
      </c>
      <c r="W182" s="82">
        <v>44481.735601851855</v>
      </c>
      <c r="X182" s="87">
        <v>44481</v>
      </c>
      <c r="Y182" s="83" t="s">
        <v>742</v>
      </c>
      <c r="Z182" s="85" t="str">
        <f>HYPERLINK("https://twitter.com/pietersemarc/status/1447980200768294923")</f>
        <v>https://twitter.com/pietersemarc/status/1447980200768294923</v>
      </c>
      <c r="AA182" s="80"/>
      <c r="AB182" s="80"/>
      <c r="AC182" s="83" t="s">
        <v>929</v>
      </c>
      <c r="AD182" s="83" t="s">
        <v>951</v>
      </c>
      <c r="AE182" s="80" t="b">
        <v>0</v>
      </c>
      <c r="AF182" s="80">
        <v>4</v>
      </c>
      <c r="AG182" s="83" t="s">
        <v>966</v>
      </c>
      <c r="AH182" s="80" t="b">
        <v>0</v>
      </c>
      <c r="AI182" s="80" t="s">
        <v>967</v>
      </c>
      <c r="AJ182" s="80"/>
      <c r="AK182" s="83" t="s">
        <v>952</v>
      </c>
      <c r="AL182" s="80" t="b">
        <v>0</v>
      </c>
      <c r="AM182" s="80">
        <v>0</v>
      </c>
      <c r="AN182" s="83" t="s">
        <v>952</v>
      </c>
      <c r="AO182" s="83" t="s">
        <v>982</v>
      </c>
      <c r="AP182" s="80" t="b">
        <v>0</v>
      </c>
      <c r="AQ182" s="83" t="s">
        <v>951</v>
      </c>
      <c r="AR182" s="80" t="s">
        <v>196</v>
      </c>
      <c r="AS182" s="80">
        <v>0</v>
      </c>
      <c r="AT182" s="80">
        <v>0</v>
      </c>
      <c r="AU182" s="80"/>
      <c r="AV182" s="80"/>
      <c r="AW182" s="80"/>
      <c r="AX182" s="80"/>
      <c r="AY182" s="80"/>
      <c r="AZ182" s="80"/>
      <c r="BA182" s="80"/>
      <c r="BB182" s="80"/>
      <c r="BC182">
        <v>1</v>
      </c>
      <c r="BD182" s="79" t="str">
        <f>REPLACE(INDEX(GroupVertices[Group],MATCH(Edges25[[#This Row],[Vertex 1]],GroupVertices[Vertex],0)),1,1,"")</f>
        <v>17</v>
      </c>
      <c r="BE182" s="79" t="str">
        <f>REPLACE(INDEX(GroupVertices[Group],MATCH(Edges25[[#This Row],[Vertex 2]],GroupVertices[Vertex],0)),1,1,"")</f>
        <v>17</v>
      </c>
      <c r="BF182" s="49">
        <v>2</v>
      </c>
      <c r="BG182" s="50">
        <v>4.081632653061225</v>
      </c>
      <c r="BH182" s="49">
        <v>0</v>
      </c>
      <c r="BI182" s="50">
        <v>0</v>
      </c>
      <c r="BJ182" s="49">
        <v>0</v>
      </c>
      <c r="BK182" s="50">
        <v>0</v>
      </c>
      <c r="BL182" s="49">
        <v>47</v>
      </c>
      <c r="BM182" s="50">
        <v>95.91836734693878</v>
      </c>
      <c r="BN182" s="49">
        <v>49</v>
      </c>
    </row>
    <row r="183" spans="1:66" ht="15">
      <c r="A183" s="65" t="s">
        <v>361</v>
      </c>
      <c r="B183" s="65" t="s">
        <v>390</v>
      </c>
      <c r="C183" s="66"/>
      <c r="D183" s="67"/>
      <c r="E183" s="66"/>
      <c r="F183" s="69"/>
      <c r="G183" s="66"/>
      <c r="H183" s="70"/>
      <c r="I183" s="71"/>
      <c r="J183" s="71"/>
      <c r="K183" s="35" t="s">
        <v>65</v>
      </c>
      <c r="L183" s="72">
        <v>414</v>
      </c>
      <c r="M183" s="72"/>
      <c r="N183" s="73"/>
      <c r="O183" s="80" t="s">
        <v>407</v>
      </c>
      <c r="P183" s="82">
        <v>44480.3753125</v>
      </c>
      <c r="Q183" s="80" t="s">
        <v>454</v>
      </c>
      <c r="R183" s="85" t="str">
        <f>HYPERLINK("https://vegnews.com/2021/10/ashton-kutcher-cell-based-meat")</f>
        <v>https://vegnews.com/2021/10/ashton-kutcher-cell-based-meat</v>
      </c>
      <c r="S183" s="80" t="s">
        <v>532</v>
      </c>
      <c r="T183" s="83" t="s">
        <v>558</v>
      </c>
      <c r="U183" s="80"/>
      <c r="V183" s="85" t="str">
        <f>HYPERLINK("https://pbs.twimg.com/profile_images/1371467367474200579/0gVpA3fB_normal.jpg")</f>
        <v>https://pbs.twimg.com/profile_images/1371467367474200579/0gVpA3fB_normal.jpg</v>
      </c>
      <c r="W183" s="82">
        <v>44480.3753125</v>
      </c>
      <c r="X183" s="87">
        <v>44480</v>
      </c>
      <c r="Y183" s="83" t="s">
        <v>743</v>
      </c>
      <c r="Z183" s="85" t="str">
        <f>HYPERLINK("https://twitter.com/meatech3d/status/1447487246731517953")</f>
        <v>https://twitter.com/meatech3d/status/1447487246731517953</v>
      </c>
      <c r="AA183" s="80"/>
      <c r="AB183" s="80"/>
      <c r="AC183" s="83" t="s">
        <v>930</v>
      </c>
      <c r="AD183" s="80"/>
      <c r="AE183" s="80" t="b">
        <v>0</v>
      </c>
      <c r="AF183" s="80">
        <v>0</v>
      </c>
      <c r="AG183" s="83" t="s">
        <v>952</v>
      </c>
      <c r="AH183" s="80" t="b">
        <v>0</v>
      </c>
      <c r="AI183" s="80" t="s">
        <v>967</v>
      </c>
      <c r="AJ183" s="80"/>
      <c r="AK183" s="83" t="s">
        <v>952</v>
      </c>
      <c r="AL183" s="80" t="b">
        <v>0</v>
      </c>
      <c r="AM183" s="80">
        <v>6</v>
      </c>
      <c r="AN183" s="83" t="s">
        <v>931</v>
      </c>
      <c r="AO183" s="83" t="s">
        <v>972</v>
      </c>
      <c r="AP183" s="80" t="b">
        <v>0</v>
      </c>
      <c r="AQ183" s="83" t="s">
        <v>931</v>
      </c>
      <c r="AR183" s="80" t="s">
        <v>196</v>
      </c>
      <c r="AS183" s="80">
        <v>0</v>
      </c>
      <c r="AT183" s="80">
        <v>0</v>
      </c>
      <c r="AU183" s="80"/>
      <c r="AV183" s="80"/>
      <c r="AW183" s="80"/>
      <c r="AX183" s="80"/>
      <c r="AY183" s="80"/>
      <c r="AZ183" s="80"/>
      <c r="BA183" s="80"/>
      <c r="BB183" s="80"/>
      <c r="BC183">
        <v>1</v>
      </c>
      <c r="BD183" s="79" t="str">
        <f>REPLACE(INDEX(GroupVertices[Group],MATCH(Edges25[[#This Row],[Vertex 1]],GroupVertices[Vertex],0)),1,1,"")</f>
        <v>4</v>
      </c>
      <c r="BE183" s="79" t="str">
        <f>REPLACE(INDEX(GroupVertices[Group],MATCH(Edges25[[#This Row],[Vertex 2]],GroupVertices[Vertex],0)),1,1,"")</f>
        <v>4</v>
      </c>
      <c r="BF183" s="49"/>
      <c r="BG183" s="50"/>
      <c r="BH183" s="49"/>
      <c r="BI183" s="50"/>
      <c r="BJ183" s="49"/>
      <c r="BK183" s="50"/>
      <c r="BL183" s="49"/>
      <c r="BM183" s="50"/>
      <c r="BN183" s="49"/>
    </row>
    <row r="184" spans="1:66" ht="15">
      <c r="A184" s="65" t="s">
        <v>362</v>
      </c>
      <c r="B184" s="65" t="s">
        <v>361</v>
      </c>
      <c r="C184" s="66"/>
      <c r="D184" s="67"/>
      <c r="E184" s="66"/>
      <c r="F184" s="69"/>
      <c r="G184" s="66"/>
      <c r="H184" s="70"/>
      <c r="I184" s="71"/>
      <c r="J184" s="71"/>
      <c r="K184" s="35" t="s">
        <v>66</v>
      </c>
      <c r="L184" s="72">
        <v>416</v>
      </c>
      <c r="M184" s="72"/>
      <c r="N184" s="73"/>
      <c r="O184" s="80" t="s">
        <v>406</v>
      </c>
      <c r="P184" s="82">
        <v>44478.71666666667</v>
      </c>
      <c r="Q184" s="80" t="s">
        <v>454</v>
      </c>
      <c r="R184" s="85" t="str">
        <f>HYPERLINK("https://vegnews.com/2021/10/ashton-kutcher-cell-based-meat")</f>
        <v>https://vegnews.com/2021/10/ashton-kutcher-cell-based-meat</v>
      </c>
      <c r="S184" s="80" t="s">
        <v>532</v>
      </c>
      <c r="T184" s="83" t="s">
        <v>558</v>
      </c>
      <c r="U184" s="80"/>
      <c r="V184" s="85" t="str">
        <f>HYPERLINK("https://pbs.twimg.com/profile_images/1308856211597475840/X7PGunVx_normal.jpg")</f>
        <v>https://pbs.twimg.com/profile_images/1308856211597475840/X7PGunVx_normal.jpg</v>
      </c>
      <c r="W184" s="82">
        <v>44478.71666666667</v>
      </c>
      <c r="X184" s="87">
        <v>44478</v>
      </c>
      <c r="Y184" s="83" t="s">
        <v>744</v>
      </c>
      <c r="Z184" s="85" t="str">
        <f>HYPERLINK("https://twitter.com/vegnews/status/1446886176443539461")</f>
        <v>https://twitter.com/vegnews/status/1446886176443539461</v>
      </c>
      <c r="AA184" s="80"/>
      <c r="AB184" s="80"/>
      <c r="AC184" s="83" t="s">
        <v>931</v>
      </c>
      <c r="AD184" s="80"/>
      <c r="AE184" s="80" t="b">
        <v>0</v>
      </c>
      <c r="AF184" s="80">
        <v>37</v>
      </c>
      <c r="AG184" s="83" t="s">
        <v>952</v>
      </c>
      <c r="AH184" s="80" t="b">
        <v>0</v>
      </c>
      <c r="AI184" s="80" t="s">
        <v>967</v>
      </c>
      <c r="AJ184" s="80"/>
      <c r="AK184" s="83" t="s">
        <v>952</v>
      </c>
      <c r="AL184" s="80" t="b">
        <v>0</v>
      </c>
      <c r="AM184" s="80">
        <v>6</v>
      </c>
      <c r="AN184" s="83" t="s">
        <v>952</v>
      </c>
      <c r="AO184" s="83" t="s">
        <v>995</v>
      </c>
      <c r="AP184" s="80" t="b">
        <v>0</v>
      </c>
      <c r="AQ184" s="83" t="s">
        <v>931</v>
      </c>
      <c r="AR184" s="80" t="s">
        <v>196</v>
      </c>
      <c r="AS184" s="80">
        <v>0</v>
      </c>
      <c r="AT184" s="80">
        <v>0</v>
      </c>
      <c r="AU184" s="80"/>
      <c r="AV184" s="80"/>
      <c r="AW184" s="80"/>
      <c r="AX184" s="80"/>
      <c r="AY184" s="80"/>
      <c r="AZ184" s="80"/>
      <c r="BA184" s="80"/>
      <c r="BB184" s="80"/>
      <c r="BC184">
        <v>2</v>
      </c>
      <c r="BD184" s="79" t="str">
        <f>REPLACE(INDEX(GroupVertices[Group],MATCH(Edges25[[#This Row],[Vertex 1]],GroupVertices[Vertex],0)),1,1,"")</f>
        <v>4</v>
      </c>
      <c r="BE184" s="79" t="str">
        <f>REPLACE(INDEX(GroupVertices[Group],MATCH(Edges25[[#This Row],[Vertex 2]],GroupVertices[Vertex],0)),1,1,"")</f>
        <v>4</v>
      </c>
      <c r="BF184" s="49"/>
      <c r="BG184" s="50"/>
      <c r="BH184" s="49"/>
      <c r="BI184" s="50"/>
      <c r="BJ184" s="49"/>
      <c r="BK184" s="50"/>
      <c r="BL184" s="49"/>
      <c r="BM184" s="50"/>
      <c r="BN184" s="49"/>
    </row>
    <row r="185" spans="1:66" ht="15">
      <c r="A185" s="65" t="s">
        <v>362</v>
      </c>
      <c r="B185" s="65" t="s">
        <v>361</v>
      </c>
      <c r="C185" s="66"/>
      <c r="D185" s="67"/>
      <c r="E185" s="66"/>
      <c r="F185" s="69"/>
      <c r="G185" s="66"/>
      <c r="H185" s="70"/>
      <c r="I185" s="71"/>
      <c r="J185" s="71"/>
      <c r="K185" s="35" t="s">
        <v>66</v>
      </c>
      <c r="L185" s="72">
        <v>417</v>
      </c>
      <c r="M185" s="72"/>
      <c r="N185" s="73"/>
      <c r="O185" s="80" t="s">
        <v>406</v>
      </c>
      <c r="P185" s="82">
        <v>44480.856944444444</v>
      </c>
      <c r="Q185" s="80" t="s">
        <v>507</v>
      </c>
      <c r="R185" s="85" t="str">
        <f>HYPERLINK("https://vegnews.com/2021/10/ashton-kutcher-cell-based-meat")</f>
        <v>https://vegnews.com/2021/10/ashton-kutcher-cell-based-meat</v>
      </c>
      <c r="S185" s="80" t="s">
        <v>532</v>
      </c>
      <c r="T185" s="83" t="s">
        <v>567</v>
      </c>
      <c r="U185" s="80"/>
      <c r="V185" s="85" t="str">
        <f>HYPERLINK("https://pbs.twimg.com/profile_images/1308856211597475840/X7PGunVx_normal.jpg")</f>
        <v>https://pbs.twimg.com/profile_images/1308856211597475840/X7PGunVx_normal.jpg</v>
      </c>
      <c r="W185" s="82">
        <v>44480.856944444444</v>
      </c>
      <c r="X185" s="87">
        <v>44480</v>
      </c>
      <c r="Y185" s="83" t="s">
        <v>745</v>
      </c>
      <c r="Z185" s="85" t="str">
        <f>HYPERLINK("https://twitter.com/vegnews/status/1447661786287771649")</f>
        <v>https://twitter.com/vegnews/status/1447661786287771649</v>
      </c>
      <c r="AA185" s="80"/>
      <c r="AB185" s="80"/>
      <c r="AC185" s="83" t="s">
        <v>932</v>
      </c>
      <c r="AD185" s="80"/>
      <c r="AE185" s="80" t="b">
        <v>0</v>
      </c>
      <c r="AF185" s="80">
        <v>13</v>
      </c>
      <c r="AG185" s="83" t="s">
        <v>952</v>
      </c>
      <c r="AH185" s="80" t="b">
        <v>0</v>
      </c>
      <c r="AI185" s="80" t="s">
        <v>967</v>
      </c>
      <c r="AJ185" s="80"/>
      <c r="AK185" s="83" t="s">
        <v>952</v>
      </c>
      <c r="AL185" s="80" t="b">
        <v>0</v>
      </c>
      <c r="AM185" s="80">
        <v>0</v>
      </c>
      <c r="AN185" s="83" t="s">
        <v>952</v>
      </c>
      <c r="AO185" s="83" t="s">
        <v>995</v>
      </c>
      <c r="AP185" s="80" t="b">
        <v>0</v>
      </c>
      <c r="AQ185" s="83" t="s">
        <v>932</v>
      </c>
      <c r="AR185" s="80" t="s">
        <v>196</v>
      </c>
      <c r="AS185" s="80">
        <v>0</v>
      </c>
      <c r="AT185" s="80">
        <v>0</v>
      </c>
      <c r="AU185" s="80"/>
      <c r="AV185" s="80"/>
      <c r="AW185" s="80"/>
      <c r="AX185" s="80"/>
      <c r="AY185" s="80"/>
      <c r="AZ185" s="80"/>
      <c r="BA185" s="80"/>
      <c r="BB185" s="80"/>
      <c r="BC185">
        <v>2</v>
      </c>
      <c r="BD185" s="79" t="str">
        <f>REPLACE(INDEX(GroupVertices[Group],MATCH(Edges25[[#This Row],[Vertex 1]],GroupVertices[Vertex],0)),1,1,"")</f>
        <v>4</v>
      </c>
      <c r="BE185" s="79" t="str">
        <f>REPLACE(INDEX(GroupVertices[Group],MATCH(Edges25[[#This Row],[Vertex 2]],GroupVertices[Vertex],0)),1,1,"")</f>
        <v>4</v>
      </c>
      <c r="BF185" s="49"/>
      <c r="BG185" s="50"/>
      <c r="BH185" s="49"/>
      <c r="BI185" s="50"/>
      <c r="BJ185" s="49"/>
      <c r="BK185" s="50"/>
      <c r="BL185" s="49"/>
      <c r="BM185" s="50"/>
      <c r="BN185" s="49"/>
    </row>
    <row r="186" spans="1:66" ht="15">
      <c r="A186" s="65" t="s">
        <v>363</v>
      </c>
      <c r="B186" s="65" t="s">
        <v>361</v>
      </c>
      <c r="C186" s="66"/>
      <c r="D186" s="67"/>
      <c r="E186" s="66"/>
      <c r="F186" s="69"/>
      <c r="G186" s="66"/>
      <c r="H186" s="70"/>
      <c r="I186" s="71"/>
      <c r="J186" s="71"/>
      <c r="K186" s="35" t="s">
        <v>65</v>
      </c>
      <c r="L186" s="72">
        <v>418</v>
      </c>
      <c r="M186" s="72"/>
      <c r="N186" s="73"/>
      <c r="O186" s="80" t="s">
        <v>407</v>
      </c>
      <c r="P186" s="82">
        <v>44481.82710648148</v>
      </c>
      <c r="Q186" s="80" t="s">
        <v>454</v>
      </c>
      <c r="R186" s="85" t="str">
        <f>HYPERLINK("https://vegnews.com/2021/10/ashton-kutcher-cell-based-meat")</f>
        <v>https://vegnews.com/2021/10/ashton-kutcher-cell-based-meat</v>
      </c>
      <c r="S186" s="80" t="s">
        <v>532</v>
      </c>
      <c r="T186" s="83" t="s">
        <v>558</v>
      </c>
      <c r="U186" s="80"/>
      <c r="V186" s="85" t="str">
        <f>HYPERLINK("https://pbs.twimg.com/profile_images/1446755109124382720/ixL_-iTZ_normal.jpg")</f>
        <v>https://pbs.twimg.com/profile_images/1446755109124382720/ixL_-iTZ_normal.jpg</v>
      </c>
      <c r="W186" s="82">
        <v>44481.82710648148</v>
      </c>
      <c r="X186" s="87">
        <v>44481</v>
      </c>
      <c r="Y186" s="83" t="s">
        <v>746</v>
      </c>
      <c r="Z186" s="85" t="str">
        <f>HYPERLINK("https://twitter.com/sophiajennifer5/status/1448013361577345034")</f>
        <v>https://twitter.com/sophiajennifer5/status/1448013361577345034</v>
      </c>
      <c r="AA186" s="80"/>
      <c r="AB186" s="80"/>
      <c r="AC186" s="83" t="s">
        <v>933</v>
      </c>
      <c r="AD186" s="80"/>
      <c r="AE186" s="80" t="b">
        <v>0</v>
      </c>
      <c r="AF186" s="80">
        <v>0</v>
      </c>
      <c r="AG186" s="83" t="s">
        <v>952</v>
      </c>
      <c r="AH186" s="80" t="b">
        <v>0</v>
      </c>
      <c r="AI186" s="80" t="s">
        <v>967</v>
      </c>
      <c r="AJ186" s="80"/>
      <c r="AK186" s="83" t="s">
        <v>952</v>
      </c>
      <c r="AL186" s="80" t="b">
        <v>0</v>
      </c>
      <c r="AM186" s="80">
        <v>6</v>
      </c>
      <c r="AN186" s="83" t="s">
        <v>931</v>
      </c>
      <c r="AO186" s="83" t="s">
        <v>979</v>
      </c>
      <c r="AP186" s="80" t="b">
        <v>0</v>
      </c>
      <c r="AQ186" s="83" t="s">
        <v>931</v>
      </c>
      <c r="AR186" s="80" t="s">
        <v>196</v>
      </c>
      <c r="AS186" s="80">
        <v>0</v>
      </c>
      <c r="AT186" s="80">
        <v>0</v>
      </c>
      <c r="AU186" s="80"/>
      <c r="AV186" s="80"/>
      <c r="AW186" s="80"/>
      <c r="AX186" s="80"/>
      <c r="AY186" s="80"/>
      <c r="AZ186" s="80"/>
      <c r="BA186" s="80"/>
      <c r="BB186" s="80"/>
      <c r="BC186">
        <v>1</v>
      </c>
      <c r="BD186" s="79" t="str">
        <f>REPLACE(INDEX(GroupVertices[Group],MATCH(Edges25[[#This Row],[Vertex 1]],GroupVertices[Vertex],0)),1,1,"")</f>
        <v>4</v>
      </c>
      <c r="BE186" s="79" t="str">
        <f>REPLACE(INDEX(GroupVertices[Group],MATCH(Edges25[[#This Row],[Vertex 2]],GroupVertices[Vertex],0)),1,1,"")</f>
        <v>4</v>
      </c>
      <c r="BF186" s="49"/>
      <c r="BG186" s="50"/>
      <c r="BH186" s="49"/>
      <c r="BI186" s="50"/>
      <c r="BJ186" s="49"/>
      <c r="BK186" s="50"/>
      <c r="BL186" s="49"/>
      <c r="BM186" s="50"/>
      <c r="BN186" s="49"/>
    </row>
    <row r="187" spans="1:66" ht="15">
      <c r="A187" s="65" t="s">
        <v>364</v>
      </c>
      <c r="B187" s="65" t="s">
        <v>364</v>
      </c>
      <c r="C187" s="66"/>
      <c r="D187" s="67"/>
      <c r="E187" s="66"/>
      <c r="F187" s="69"/>
      <c r="G187" s="66"/>
      <c r="H187" s="70"/>
      <c r="I187" s="71"/>
      <c r="J187" s="71"/>
      <c r="K187" s="35" t="s">
        <v>65</v>
      </c>
      <c r="L187" s="72">
        <v>423</v>
      </c>
      <c r="M187" s="72"/>
      <c r="N187" s="73"/>
      <c r="O187" s="80" t="s">
        <v>196</v>
      </c>
      <c r="P187" s="82">
        <v>44476.72951388889</v>
      </c>
      <c r="Q187" s="80" t="s">
        <v>500</v>
      </c>
      <c r="R187" s="85" t="str">
        <f>HYPERLINK("https://techcrunch.com/2021/09/27/new-age-meats-bites-into-25m-for-cultured-meat-product-line-development/?utm_content=buffer97d50&amp;utm_medium=social&amp;utm_source=twitter.com&amp;utm_campaign=buffer")</f>
        <v>https://techcrunch.com/2021/09/27/new-age-meats-bites-into-25m-for-cultured-meat-product-line-development/?utm_content=buffer97d50&amp;utm_medium=social&amp;utm_source=twitter.com&amp;utm_campaign=buffer</v>
      </c>
      <c r="S187" s="80" t="s">
        <v>544</v>
      </c>
      <c r="T187" s="83" t="s">
        <v>564</v>
      </c>
      <c r="U187" s="80"/>
      <c r="V187" s="85" t="str">
        <f>HYPERLINK("https://pbs.twimg.com/profile_images/1032774523739762694/6PxyeNw5_normal.jpg")</f>
        <v>https://pbs.twimg.com/profile_images/1032774523739762694/6PxyeNw5_normal.jpg</v>
      </c>
      <c r="W187" s="82">
        <v>44476.72951388889</v>
      </c>
      <c r="X187" s="87">
        <v>44476</v>
      </c>
      <c r="Y187" s="83" t="s">
        <v>747</v>
      </c>
      <c r="Z187" s="85" t="str">
        <f>HYPERLINK("https://twitter.com/cellagritech/status/1446166054363975690")</f>
        <v>https://twitter.com/cellagritech/status/1446166054363975690</v>
      </c>
      <c r="AA187" s="80"/>
      <c r="AB187" s="80"/>
      <c r="AC187" s="83" t="s">
        <v>934</v>
      </c>
      <c r="AD187" s="80"/>
      <c r="AE187" s="80" t="b">
        <v>0</v>
      </c>
      <c r="AF187" s="80">
        <v>2</v>
      </c>
      <c r="AG187" s="83" t="s">
        <v>952</v>
      </c>
      <c r="AH187" s="80" t="b">
        <v>0</v>
      </c>
      <c r="AI187" s="80" t="s">
        <v>967</v>
      </c>
      <c r="AJ187" s="80"/>
      <c r="AK187" s="83" t="s">
        <v>952</v>
      </c>
      <c r="AL187" s="80" t="b">
        <v>0</v>
      </c>
      <c r="AM187" s="80">
        <v>1</v>
      </c>
      <c r="AN187" s="83" t="s">
        <v>952</v>
      </c>
      <c r="AO187" s="83" t="s">
        <v>994</v>
      </c>
      <c r="AP187" s="80" t="b">
        <v>0</v>
      </c>
      <c r="AQ187" s="83" t="s">
        <v>934</v>
      </c>
      <c r="AR187" s="80" t="s">
        <v>196</v>
      </c>
      <c r="AS187" s="80">
        <v>0</v>
      </c>
      <c r="AT187" s="80">
        <v>0</v>
      </c>
      <c r="AU187" s="80"/>
      <c r="AV187" s="80"/>
      <c r="AW187" s="80"/>
      <c r="AX187" s="80"/>
      <c r="AY187" s="80"/>
      <c r="AZ187" s="80"/>
      <c r="BA187" s="80"/>
      <c r="BB187" s="80"/>
      <c r="BC187">
        <v>1</v>
      </c>
      <c r="BD187" s="79" t="str">
        <f>REPLACE(INDEX(GroupVertices[Group],MATCH(Edges25[[#This Row],[Vertex 1]],GroupVertices[Vertex],0)),1,1,"")</f>
        <v>10</v>
      </c>
      <c r="BE187" s="79" t="str">
        <f>REPLACE(INDEX(GroupVertices[Group],MATCH(Edges25[[#This Row],[Vertex 2]],GroupVertices[Vertex],0)),1,1,"")</f>
        <v>10</v>
      </c>
      <c r="BF187" s="49">
        <v>0</v>
      </c>
      <c r="BG187" s="50">
        <v>0</v>
      </c>
      <c r="BH187" s="49">
        <v>0</v>
      </c>
      <c r="BI187" s="50">
        <v>0</v>
      </c>
      <c r="BJ187" s="49">
        <v>0</v>
      </c>
      <c r="BK187" s="50">
        <v>0</v>
      </c>
      <c r="BL187" s="49">
        <v>29</v>
      </c>
      <c r="BM187" s="50">
        <v>100</v>
      </c>
      <c r="BN187" s="49">
        <v>29</v>
      </c>
    </row>
    <row r="188" spans="1:66" ht="15">
      <c r="A188" s="65" t="s">
        <v>364</v>
      </c>
      <c r="B188" s="65" t="s">
        <v>365</v>
      </c>
      <c r="C188" s="66"/>
      <c r="D188" s="67"/>
      <c r="E188" s="66"/>
      <c r="F188" s="69"/>
      <c r="G188" s="66"/>
      <c r="H188" s="70"/>
      <c r="I188" s="71"/>
      <c r="J188" s="71"/>
      <c r="K188" s="35" t="s">
        <v>66</v>
      </c>
      <c r="L188" s="72">
        <v>424</v>
      </c>
      <c r="M188" s="72"/>
      <c r="N188" s="73"/>
      <c r="O188" s="80" t="s">
        <v>406</v>
      </c>
      <c r="P188" s="82">
        <v>44481.60445601852</v>
      </c>
      <c r="Q188" s="80" t="s">
        <v>502</v>
      </c>
      <c r="R188"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188" s="80" t="s">
        <v>546</v>
      </c>
      <c r="T188" s="83" t="s">
        <v>565</v>
      </c>
      <c r="U188" s="80"/>
      <c r="V188" s="85" t="str">
        <f>HYPERLINK("https://pbs.twimg.com/profile_images/1032774523739762694/6PxyeNw5_normal.jpg")</f>
        <v>https://pbs.twimg.com/profile_images/1032774523739762694/6PxyeNw5_normal.jpg</v>
      </c>
      <c r="W188" s="82">
        <v>44481.60445601852</v>
      </c>
      <c r="X188" s="87">
        <v>44481</v>
      </c>
      <c r="Y188" s="83" t="s">
        <v>748</v>
      </c>
      <c r="Z188" s="85" t="str">
        <f>HYPERLINK("https://twitter.com/cellagritech/status/1447932672630734849")</f>
        <v>https://twitter.com/cellagritech/status/1447932672630734849</v>
      </c>
      <c r="AA188" s="80"/>
      <c r="AB188" s="80"/>
      <c r="AC188" s="83" t="s">
        <v>935</v>
      </c>
      <c r="AD188" s="80"/>
      <c r="AE188" s="80" t="b">
        <v>0</v>
      </c>
      <c r="AF188" s="80">
        <v>5</v>
      </c>
      <c r="AG188" s="83" t="s">
        <v>952</v>
      </c>
      <c r="AH188" s="80" t="b">
        <v>0</v>
      </c>
      <c r="AI188" s="80" t="s">
        <v>967</v>
      </c>
      <c r="AJ188" s="80"/>
      <c r="AK188" s="83" t="s">
        <v>952</v>
      </c>
      <c r="AL188" s="80" t="b">
        <v>0</v>
      </c>
      <c r="AM188" s="80">
        <v>4</v>
      </c>
      <c r="AN188" s="83" t="s">
        <v>952</v>
      </c>
      <c r="AO188" s="83" t="s">
        <v>994</v>
      </c>
      <c r="AP188" s="80" t="b">
        <v>0</v>
      </c>
      <c r="AQ188" s="83" t="s">
        <v>935</v>
      </c>
      <c r="AR188" s="80" t="s">
        <v>196</v>
      </c>
      <c r="AS188" s="80">
        <v>0</v>
      </c>
      <c r="AT188" s="80">
        <v>0</v>
      </c>
      <c r="AU188" s="80"/>
      <c r="AV188" s="80"/>
      <c r="AW188" s="80"/>
      <c r="AX188" s="80"/>
      <c r="AY188" s="80"/>
      <c r="AZ188" s="80"/>
      <c r="BA188" s="80"/>
      <c r="BB188" s="80"/>
      <c r="BC188">
        <v>1</v>
      </c>
      <c r="BD188" s="79" t="str">
        <f>REPLACE(INDEX(GroupVertices[Group],MATCH(Edges25[[#This Row],[Vertex 1]],GroupVertices[Vertex],0)),1,1,"")</f>
        <v>10</v>
      </c>
      <c r="BE188" s="79" t="str">
        <f>REPLACE(INDEX(GroupVertices[Group],MATCH(Edges25[[#This Row],[Vertex 2]],GroupVertices[Vertex],0)),1,1,"")</f>
        <v>10</v>
      </c>
      <c r="BF188" s="49">
        <v>1</v>
      </c>
      <c r="BG188" s="50">
        <v>2.6315789473684212</v>
      </c>
      <c r="BH188" s="49">
        <v>0</v>
      </c>
      <c r="BI188" s="50">
        <v>0</v>
      </c>
      <c r="BJ188" s="49">
        <v>0</v>
      </c>
      <c r="BK188" s="50">
        <v>0</v>
      </c>
      <c r="BL188" s="49">
        <v>37</v>
      </c>
      <c r="BM188" s="50">
        <v>97.36842105263158</v>
      </c>
      <c r="BN188" s="49">
        <v>38</v>
      </c>
    </row>
    <row r="189" spans="1:66" ht="15">
      <c r="A189" s="65" t="s">
        <v>365</v>
      </c>
      <c r="B189" s="65" t="s">
        <v>364</v>
      </c>
      <c r="C189" s="66"/>
      <c r="D189" s="67"/>
      <c r="E189" s="66"/>
      <c r="F189" s="69"/>
      <c r="G189" s="66"/>
      <c r="H189" s="70"/>
      <c r="I189" s="71"/>
      <c r="J189" s="71"/>
      <c r="K189" s="35" t="s">
        <v>66</v>
      </c>
      <c r="L189" s="72">
        <v>425</v>
      </c>
      <c r="M189" s="72"/>
      <c r="N189" s="73"/>
      <c r="O189" s="80" t="s">
        <v>408</v>
      </c>
      <c r="P189" s="82">
        <v>44481.90278935185</v>
      </c>
      <c r="Q189" s="80" t="s">
        <v>502</v>
      </c>
      <c r="R189" s="85" t="str">
        <f>HYPERLINK("https://channels.ft.com/en/foodrevolution/lab-grown-meat-the-future-of-food/?utm_content=buffer9816a&amp;utm_medium=social&amp;utm_source=twitter.com&amp;utm_campaign=buffer")</f>
        <v>https://channels.ft.com/en/foodrevolution/lab-grown-meat-the-future-of-food/?utm_content=buffer9816a&amp;utm_medium=social&amp;utm_source=twitter.com&amp;utm_campaign=buffer</v>
      </c>
      <c r="S189" s="80" t="s">
        <v>546</v>
      </c>
      <c r="T189" s="83" t="s">
        <v>565</v>
      </c>
      <c r="U189" s="80"/>
      <c r="V189" s="85" t="str">
        <f>HYPERLINK("https://pbs.twimg.com/profile_images/1334190529727303687/lyl9_7E6_normal.jpg")</f>
        <v>https://pbs.twimg.com/profile_images/1334190529727303687/lyl9_7E6_normal.jpg</v>
      </c>
      <c r="W189" s="82">
        <v>44481.90278935185</v>
      </c>
      <c r="X189" s="87">
        <v>44481</v>
      </c>
      <c r="Y189" s="83" t="s">
        <v>749</v>
      </c>
      <c r="Z189" s="85" t="str">
        <f>HYPERLINK("https://twitter.com/hoxtonfarms/status/1448040786025717764")</f>
        <v>https://twitter.com/hoxtonfarms/status/1448040786025717764</v>
      </c>
      <c r="AA189" s="80"/>
      <c r="AB189" s="80"/>
      <c r="AC189" s="83" t="s">
        <v>936</v>
      </c>
      <c r="AD189" s="80"/>
      <c r="AE189" s="80" t="b">
        <v>0</v>
      </c>
      <c r="AF189" s="80">
        <v>0</v>
      </c>
      <c r="AG189" s="83" t="s">
        <v>952</v>
      </c>
      <c r="AH189" s="80" t="b">
        <v>0</v>
      </c>
      <c r="AI189" s="80" t="s">
        <v>967</v>
      </c>
      <c r="AJ189" s="80"/>
      <c r="AK189" s="83" t="s">
        <v>952</v>
      </c>
      <c r="AL189" s="80" t="b">
        <v>0</v>
      </c>
      <c r="AM189" s="80">
        <v>4</v>
      </c>
      <c r="AN189" s="83" t="s">
        <v>935</v>
      </c>
      <c r="AO189" s="83" t="s">
        <v>979</v>
      </c>
      <c r="AP189" s="80" t="b">
        <v>0</v>
      </c>
      <c r="AQ189" s="83" t="s">
        <v>935</v>
      </c>
      <c r="AR189" s="80" t="s">
        <v>196</v>
      </c>
      <c r="AS189" s="80">
        <v>0</v>
      </c>
      <c r="AT189" s="80">
        <v>0</v>
      </c>
      <c r="AU189" s="80"/>
      <c r="AV189" s="80"/>
      <c r="AW189" s="80"/>
      <c r="AX189" s="80"/>
      <c r="AY189" s="80"/>
      <c r="AZ189" s="80"/>
      <c r="BA189" s="80"/>
      <c r="BB189" s="80"/>
      <c r="BC189">
        <v>1</v>
      </c>
      <c r="BD189" s="79" t="str">
        <f>REPLACE(INDEX(GroupVertices[Group],MATCH(Edges25[[#This Row],[Vertex 1]],GroupVertices[Vertex],0)),1,1,"")</f>
        <v>10</v>
      </c>
      <c r="BE189" s="79" t="str">
        <f>REPLACE(INDEX(GroupVertices[Group],MATCH(Edges25[[#This Row],[Vertex 2]],GroupVertices[Vertex],0)),1,1,"")</f>
        <v>10</v>
      </c>
      <c r="BF189" s="49">
        <v>1</v>
      </c>
      <c r="BG189" s="50">
        <v>2.6315789473684212</v>
      </c>
      <c r="BH189" s="49">
        <v>0</v>
      </c>
      <c r="BI189" s="50">
        <v>0</v>
      </c>
      <c r="BJ189" s="49">
        <v>0</v>
      </c>
      <c r="BK189" s="50">
        <v>0</v>
      </c>
      <c r="BL189" s="49">
        <v>37</v>
      </c>
      <c r="BM189" s="50">
        <v>97.36842105263158</v>
      </c>
      <c r="BN189" s="49">
        <v>38</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allowBlank="1" showInputMessage="1" showErrorMessage="1" promptTitle="Vertex 2 Name" prompt="Enter the name of the edge's second vertex." sqref="B3:B189"/>
    <dataValidation allowBlank="1" showInputMessage="1" showErrorMessage="1" promptTitle="Vertex 1 Name" prompt="Enter the name of the edge's first vertex." sqref="A3:A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Color" prompt="To select an optional edge color, right-click and select Select Color on the right-click menu." sqref="C3:C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ErrorMessage="1" sqref="N2:N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D82E-64B2-4D81-BD11-97DC6183A5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2772</v>
      </c>
      <c r="B1" s="13" t="s">
        <v>34</v>
      </c>
    </row>
    <row r="2" spans="1:2" ht="15">
      <c r="A2" s="105" t="s">
        <v>347</v>
      </c>
      <c r="B2" s="79">
        <v>1840.5</v>
      </c>
    </row>
    <row r="3" spans="1:2" ht="15">
      <c r="A3" s="106" t="s">
        <v>342</v>
      </c>
      <c r="B3" s="79">
        <v>1714.0625</v>
      </c>
    </row>
    <row r="4" spans="1:2" ht="15">
      <c r="A4" s="106" t="s">
        <v>364</v>
      </c>
      <c r="B4" s="79">
        <v>427</v>
      </c>
    </row>
    <row r="5" spans="1:2" ht="15">
      <c r="A5" s="106" t="s">
        <v>331</v>
      </c>
      <c r="B5" s="79">
        <v>332.895833</v>
      </c>
    </row>
    <row r="6" spans="1:2" ht="15">
      <c r="A6" s="106" t="s">
        <v>377</v>
      </c>
      <c r="B6" s="79">
        <v>332.833333</v>
      </c>
    </row>
    <row r="7" spans="1:2" ht="15">
      <c r="A7" s="106" t="s">
        <v>378</v>
      </c>
      <c r="B7" s="79">
        <v>332.833333</v>
      </c>
    </row>
    <row r="8" spans="1:2" ht="15">
      <c r="A8" s="106" t="s">
        <v>341</v>
      </c>
      <c r="B8" s="79">
        <v>112.5625</v>
      </c>
    </row>
    <row r="9" spans="1:2" ht="15">
      <c r="A9" s="106" t="s">
        <v>353</v>
      </c>
      <c r="B9" s="79">
        <v>112</v>
      </c>
    </row>
    <row r="10" spans="1:2" ht="15">
      <c r="A10" s="106" t="s">
        <v>329</v>
      </c>
      <c r="B10" s="79">
        <v>112</v>
      </c>
    </row>
    <row r="11" spans="1:2" ht="15">
      <c r="A11" s="106" t="s">
        <v>346</v>
      </c>
      <c r="B11" s="79">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F4080-4891-4887-B062-FE747B0006AD}">
  <dimension ref="A25:B13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2774</v>
      </c>
      <c r="B25" t="s">
        <v>2773</v>
      </c>
    </row>
    <row r="26" spans="1:2" ht="15">
      <c r="A26" s="116" t="s">
        <v>2776</v>
      </c>
      <c r="B26" s="3">
        <v>187</v>
      </c>
    </row>
    <row r="27" spans="1:2" ht="15">
      <c r="A27" s="117" t="s">
        <v>2777</v>
      </c>
      <c r="B27" s="3">
        <v>2</v>
      </c>
    </row>
    <row r="28" spans="1:2" ht="15">
      <c r="A28" s="118" t="s">
        <v>2778</v>
      </c>
      <c r="B28" s="3">
        <v>1</v>
      </c>
    </row>
    <row r="29" spans="1:2" ht="15">
      <c r="A29" s="119" t="s">
        <v>2779</v>
      </c>
      <c r="B29" s="3">
        <v>1</v>
      </c>
    </row>
    <row r="30" spans="1:2" ht="15">
      <c r="A30" s="118" t="s">
        <v>2780</v>
      </c>
      <c r="B30" s="3">
        <v>1</v>
      </c>
    </row>
    <row r="31" spans="1:2" ht="15">
      <c r="A31" s="119" t="s">
        <v>2781</v>
      </c>
      <c r="B31" s="3">
        <v>1</v>
      </c>
    </row>
    <row r="32" spans="1:2" ht="15">
      <c r="A32" s="117" t="s">
        <v>2782</v>
      </c>
      <c r="B32" s="3">
        <v>185</v>
      </c>
    </row>
    <row r="33" spans="1:2" ht="15">
      <c r="A33" s="118" t="s">
        <v>2783</v>
      </c>
      <c r="B33" s="3">
        <v>2</v>
      </c>
    </row>
    <row r="34" spans="1:2" ht="15">
      <c r="A34" s="119" t="s">
        <v>2784</v>
      </c>
      <c r="B34" s="3">
        <v>1</v>
      </c>
    </row>
    <row r="35" spans="1:2" ht="15">
      <c r="A35" s="119" t="s">
        <v>2785</v>
      </c>
      <c r="B35" s="3">
        <v>1</v>
      </c>
    </row>
    <row r="36" spans="1:2" ht="15">
      <c r="A36" s="118" t="s">
        <v>2786</v>
      </c>
      <c r="B36" s="3">
        <v>9</v>
      </c>
    </row>
    <row r="37" spans="1:2" ht="15">
      <c r="A37" s="119" t="s">
        <v>2779</v>
      </c>
      <c r="B37" s="3">
        <v>1</v>
      </c>
    </row>
    <row r="38" spans="1:2" ht="15">
      <c r="A38" s="119" t="s">
        <v>2784</v>
      </c>
      <c r="B38" s="3">
        <v>2</v>
      </c>
    </row>
    <row r="39" spans="1:2" ht="15">
      <c r="A39" s="119" t="s">
        <v>2785</v>
      </c>
      <c r="B39" s="3">
        <v>1</v>
      </c>
    </row>
    <row r="40" spans="1:2" ht="15">
      <c r="A40" s="119" t="s">
        <v>2787</v>
      </c>
      <c r="B40" s="3">
        <v>3</v>
      </c>
    </row>
    <row r="41" spans="1:2" ht="15">
      <c r="A41" s="119" t="s">
        <v>2788</v>
      </c>
      <c r="B41" s="3">
        <v>1</v>
      </c>
    </row>
    <row r="42" spans="1:2" ht="15">
      <c r="A42" s="119" t="s">
        <v>2789</v>
      </c>
      <c r="B42" s="3">
        <v>1</v>
      </c>
    </row>
    <row r="43" spans="1:2" ht="15">
      <c r="A43" s="118" t="s">
        <v>2790</v>
      </c>
      <c r="B43" s="3">
        <v>10</v>
      </c>
    </row>
    <row r="44" spans="1:2" ht="15">
      <c r="A44" s="119" t="s">
        <v>2791</v>
      </c>
      <c r="B44" s="3">
        <v>1</v>
      </c>
    </row>
    <row r="45" spans="1:2" ht="15">
      <c r="A45" s="119" t="s">
        <v>2792</v>
      </c>
      <c r="B45" s="3">
        <v>1</v>
      </c>
    </row>
    <row r="46" spans="1:2" ht="15">
      <c r="A46" s="119" t="s">
        <v>2784</v>
      </c>
      <c r="B46" s="3">
        <v>1</v>
      </c>
    </row>
    <row r="47" spans="1:2" ht="15">
      <c r="A47" s="119" t="s">
        <v>2793</v>
      </c>
      <c r="B47" s="3">
        <v>1</v>
      </c>
    </row>
    <row r="48" spans="1:2" ht="15">
      <c r="A48" s="119" t="s">
        <v>2787</v>
      </c>
      <c r="B48" s="3">
        <v>1</v>
      </c>
    </row>
    <row r="49" spans="1:2" ht="15">
      <c r="A49" s="119" t="s">
        <v>2788</v>
      </c>
      <c r="B49" s="3">
        <v>2</v>
      </c>
    </row>
    <row r="50" spans="1:2" ht="15">
      <c r="A50" s="119" t="s">
        <v>2794</v>
      </c>
      <c r="B50" s="3">
        <v>2</v>
      </c>
    </row>
    <row r="51" spans="1:2" ht="15">
      <c r="A51" s="119" t="s">
        <v>2789</v>
      </c>
      <c r="B51" s="3">
        <v>1</v>
      </c>
    </row>
    <row r="52" spans="1:2" ht="15">
      <c r="A52" s="118" t="s">
        <v>2795</v>
      </c>
      <c r="B52" s="3">
        <v>17</v>
      </c>
    </row>
    <row r="53" spans="1:2" ht="15">
      <c r="A53" s="119" t="s">
        <v>2796</v>
      </c>
      <c r="B53" s="3">
        <v>2</v>
      </c>
    </row>
    <row r="54" spans="1:2" ht="15">
      <c r="A54" s="119" t="s">
        <v>2792</v>
      </c>
      <c r="B54" s="3">
        <v>2</v>
      </c>
    </row>
    <row r="55" spans="1:2" ht="15">
      <c r="A55" s="119" t="s">
        <v>2797</v>
      </c>
      <c r="B55" s="3">
        <v>1</v>
      </c>
    </row>
    <row r="56" spans="1:2" ht="15">
      <c r="A56" s="119" t="s">
        <v>2798</v>
      </c>
      <c r="B56" s="3">
        <v>1</v>
      </c>
    </row>
    <row r="57" spans="1:2" ht="15">
      <c r="A57" s="119" t="s">
        <v>2779</v>
      </c>
      <c r="B57" s="3">
        <v>2</v>
      </c>
    </row>
    <row r="58" spans="1:2" ht="15">
      <c r="A58" s="119" t="s">
        <v>2799</v>
      </c>
      <c r="B58" s="3">
        <v>1</v>
      </c>
    </row>
    <row r="59" spans="1:2" ht="15">
      <c r="A59" s="119" t="s">
        <v>2784</v>
      </c>
      <c r="B59" s="3">
        <v>3</v>
      </c>
    </row>
    <row r="60" spans="1:2" ht="15">
      <c r="A60" s="119" t="s">
        <v>2785</v>
      </c>
      <c r="B60" s="3">
        <v>2</v>
      </c>
    </row>
    <row r="61" spans="1:2" ht="15">
      <c r="A61" s="119" t="s">
        <v>2788</v>
      </c>
      <c r="B61" s="3">
        <v>2</v>
      </c>
    </row>
    <row r="62" spans="1:2" ht="15">
      <c r="A62" s="119" t="s">
        <v>2789</v>
      </c>
      <c r="B62" s="3">
        <v>1</v>
      </c>
    </row>
    <row r="63" spans="1:2" ht="15">
      <c r="A63" s="118" t="s">
        <v>2800</v>
      </c>
      <c r="B63" s="3">
        <v>34</v>
      </c>
    </row>
    <row r="64" spans="1:2" ht="15">
      <c r="A64" s="119" t="s">
        <v>2801</v>
      </c>
      <c r="B64" s="3">
        <v>1</v>
      </c>
    </row>
    <row r="65" spans="1:2" ht="15">
      <c r="A65" s="119" t="s">
        <v>2802</v>
      </c>
      <c r="B65" s="3">
        <v>1</v>
      </c>
    </row>
    <row r="66" spans="1:2" ht="15">
      <c r="A66" s="119" t="s">
        <v>2803</v>
      </c>
      <c r="B66" s="3">
        <v>2</v>
      </c>
    </row>
    <row r="67" spans="1:2" ht="15">
      <c r="A67" s="119" t="s">
        <v>2804</v>
      </c>
      <c r="B67" s="3">
        <v>4</v>
      </c>
    </row>
    <row r="68" spans="1:2" ht="15">
      <c r="A68" s="119" t="s">
        <v>2792</v>
      </c>
      <c r="B68" s="3">
        <v>4</v>
      </c>
    </row>
    <row r="69" spans="1:2" ht="15">
      <c r="A69" s="119" t="s">
        <v>2797</v>
      </c>
      <c r="B69" s="3">
        <v>12</v>
      </c>
    </row>
    <row r="70" spans="1:2" ht="15">
      <c r="A70" s="119" t="s">
        <v>2798</v>
      </c>
      <c r="B70" s="3">
        <v>2</v>
      </c>
    </row>
    <row r="71" spans="1:2" ht="15">
      <c r="A71" s="119" t="s">
        <v>2779</v>
      </c>
      <c r="B71" s="3">
        <v>1</v>
      </c>
    </row>
    <row r="72" spans="1:2" ht="15">
      <c r="A72" s="119" t="s">
        <v>2793</v>
      </c>
      <c r="B72" s="3">
        <v>1</v>
      </c>
    </row>
    <row r="73" spans="1:2" ht="15">
      <c r="A73" s="119" t="s">
        <v>2788</v>
      </c>
      <c r="B73" s="3">
        <v>1</v>
      </c>
    </row>
    <row r="74" spans="1:2" ht="15">
      <c r="A74" s="119" t="s">
        <v>2781</v>
      </c>
      <c r="B74" s="3">
        <v>1</v>
      </c>
    </row>
    <row r="75" spans="1:2" ht="15">
      <c r="A75" s="119" t="s">
        <v>2794</v>
      </c>
      <c r="B75" s="3">
        <v>1</v>
      </c>
    </row>
    <row r="76" spans="1:2" ht="15">
      <c r="A76" s="119" t="s">
        <v>2789</v>
      </c>
      <c r="B76" s="3">
        <v>3</v>
      </c>
    </row>
    <row r="77" spans="1:2" ht="15">
      <c r="A77" s="118" t="s">
        <v>2805</v>
      </c>
      <c r="B77" s="3">
        <v>25</v>
      </c>
    </row>
    <row r="78" spans="1:2" ht="15">
      <c r="A78" s="119" t="s">
        <v>2801</v>
      </c>
      <c r="B78" s="3">
        <v>3</v>
      </c>
    </row>
    <row r="79" spans="1:2" ht="15">
      <c r="A79" s="119" t="s">
        <v>2803</v>
      </c>
      <c r="B79" s="3">
        <v>1</v>
      </c>
    </row>
    <row r="80" spans="1:2" ht="15">
      <c r="A80" s="119" t="s">
        <v>2792</v>
      </c>
      <c r="B80" s="3">
        <v>4</v>
      </c>
    </row>
    <row r="81" spans="1:2" ht="15">
      <c r="A81" s="119" t="s">
        <v>2798</v>
      </c>
      <c r="B81" s="3">
        <v>1</v>
      </c>
    </row>
    <row r="82" spans="1:2" ht="15">
      <c r="A82" s="119" t="s">
        <v>2779</v>
      </c>
      <c r="B82" s="3">
        <v>3</v>
      </c>
    </row>
    <row r="83" spans="1:2" ht="15">
      <c r="A83" s="119" t="s">
        <v>2799</v>
      </c>
      <c r="B83" s="3">
        <v>1</v>
      </c>
    </row>
    <row r="84" spans="1:2" ht="15">
      <c r="A84" s="119" t="s">
        <v>2785</v>
      </c>
      <c r="B84" s="3">
        <v>3</v>
      </c>
    </row>
    <row r="85" spans="1:2" ht="15">
      <c r="A85" s="119" t="s">
        <v>2787</v>
      </c>
      <c r="B85" s="3">
        <v>1</v>
      </c>
    </row>
    <row r="86" spans="1:2" ht="15">
      <c r="A86" s="119" t="s">
        <v>2788</v>
      </c>
      <c r="B86" s="3">
        <v>6</v>
      </c>
    </row>
    <row r="87" spans="1:2" ht="15">
      <c r="A87" s="119" t="s">
        <v>2794</v>
      </c>
      <c r="B87" s="3">
        <v>1</v>
      </c>
    </row>
    <row r="88" spans="1:2" ht="15">
      <c r="A88" s="119" t="s">
        <v>2789</v>
      </c>
      <c r="B88" s="3">
        <v>1</v>
      </c>
    </row>
    <row r="89" spans="1:2" ht="15">
      <c r="A89" s="118" t="s">
        <v>2806</v>
      </c>
      <c r="B89" s="3">
        <v>27</v>
      </c>
    </row>
    <row r="90" spans="1:2" ht="15">
      <c r="A90" s="119" t="s">
        <v>2791</v>
      </c>
      <c r="B90" s="3">
        <v>2</v>
      </c>
    </row>
    <row r="91" spans="1:2" ht="15">
      <c r="A91" s="119" t="s">
        <v>2802</v>
      </c>
      <c r="B91" s="3">
        <v>1</v>
      </c>
    </row>
    <row r="92" spans="1:2" ht="15">
      <c r="A92" s="119" t="s">
        <v>2796</v>
      </c>
      <c r="B92" s="3">
        <v>2</v>
      </c>
    </row>
    <row r="93" spans="1:2" ht="15">
      <c r="A93" s="119" t="s">
        <v>2803</v>
      </c>
      <c r="B93" s="3">
        <v>11</v>
      </c>
    </row>
    <row r="94" spans="1:2" ht="15">
      <c r="A94" s="119" t="s">
        <v>2807</v>
      </c>
      <c r="B94" s="3">
        <v>1</v>
      </c>
    </row>
    <row r="95" spans="1:2" ht="15">
      <c r="A95" s="119" t="s">
        <v>2792</v>
      </c>
      <c r="B95" s="3">
        <v>3</v>
      </c>
    </row>
    <row r="96" spans="1:2" ht="15">
      <c r="A96" s="119" t="s">
        <v>2785</v>
      </c>
      <c r="B96" s="3">
        <v>1</v>
      </c>
    </row>
    <row r="97" spans="1:2" ht="15">
      <c r="A97" s="119" t="s">
        <v>2793</v>
      </c>
      <c r="B97" s="3">
        <v>1</v>
      </c>
    </row>
    <row r="98" spans="1:2" ht="15">
      <c r="A98" s="119" t="s">
        <v>2788</v>
      </c>
      <c r="B98" s="3">
        <v>2</v>
      </c>
    </row>
    <row r="99" spans="1:2" ht="15">
      <c r="A99" s="119" t="s">
        <v>2808</v>
      </c>
      <c r="B99" s="3">
        <v>1</v>
      </c>
    </row>
    <row r="100" spans="1:2" ht="15">
      <c r="A100" s="119" t="s">
        <v>2789</v>
      </c>
      <c r="B100" s="3">
        <v>2</v>
      </c>
    </row>
    <row r="101" spans="1:2" ht="15">
      <c r="A101" s="118" t="s">
        <v>2809</v>
      </c>
      <c r="B101" s="3">
        <v>21</v>
      </c>
    </row>
    <row r="102" spans="1:2" ht="15">
      <c r="A102" s="119" t="s">
        <v>2803</v>
      </c>
      <c r="B102" s="3">
        <v>1</v>
      </c>
    </row>
    <row r="103" spans="1:2" ht="15">
      <c r="A103" s="119" t="s">
        <v>2810</v>
      </c>
      <c r="B103" s="3">
        <v>1</v>
      </c>
    </row>
    <row r="104" spans="1:2" ht="15">
      <c r="A104" s="119" t="s">
        <v>2804</v>
      </c>
      <c r="B104" s="3">
        <v>3</v>
      </c>
    </row>
    <row r="105" spans="1:2" ht="15">
      <c r="A105" s="119" t="s">
        <v>2807</v>
      </c>
      <c r="B105" s="3">
        <v>2</v>
      </c>
    </row>
    <row r="106" spans="1:2" ht="15">
      <c r="A106" s="119" t="s">
        <v>2792</v>
      </c>
      <c r="B106" s="3">
        <v>4</v>
      </c>
    </row>
    <row r="107" spans="1:2" ht="15">
      <c r="A107" s="119" t="s">
        <v>2798</v>
      </c>
      <c r="B107" s="3">
        <v>1</v>
      </c>
    </row>
    <row r="108" spans="1:2" ht="15">
      <c r="A108" s="119" t="s">
        <v>2811</v>
      </c>
      <c r="B108" s="3">
        <v>1</v>
      </c>
    </row>
    <row r="109" spans="1:2" ht="15">
      <c r="A109" s="119" t="s">
        <v>2779</v>
      </c>
      <c r="B109" s="3">
        <v>3</v>
      </c>
    </row>
    <row r="110" spans="1:2" ht="15">
      <c r="A110" s="119" t="s">
        <v>2785</v>
      </c>
      <c r="B110" s="3">
        <v>1</v>
      </c>
    </row>
    <row r="111" spans="1:2" ht="15">
      <c r="A111" s="119" t="s">
        <v>2793</v>
      </c>
      <c r="B111" s="3">
        <v>1</v>
      </c>
    </row>
    <row r="112" spans="1:2" ht="15">
      <c r="A112" s="119" t="s">
        <v>2788</v>
      </c>
      <c r="B112" s="3">
        <v>2</v>
      </c>
    </row>
    <row r="113" spans="1:2" ht="15">
      <c r="A113" s="119" t="s">
        <v>2789</v>
      </c>
      <c r="B113" s="3">
        <v>1</v>
      </c>
    </row>
    <row r="114" spans="1:2" ht="15">
      <c r="A114" s="118" t="s">
        <v>2812</v>
      </c>
      <c r="B114" s="3">
        <v>25</v>
      </c>
    </row>
    <row r="115" spans="1:2" ht="15">
      <c r="A115" s="119" t="s">
        <v>2803</v>
      </c>
      <c r="B115" s="3">
        <v>10</v>
      </c>
    </row>
    <row r="116" spans="1:2" ht="15">
      <c r="A116" s="119" t="s">
        <v>2810</v>
      </c>
      <c r="B116" s="3">
        <v>1</v>
      </c>
    </row>
    <row r="117" spans="1:2" ht="15">
      <c r="A117" s="119" t="s">
        <v>2792</v>
      </c>
      <c r="B117" s="3">
        <v>5</v>
      </c>
    </row>
    <row r="118" spans="1:2" ht="15">
      <c r="A118" s="119" t="s">
        <v>2813</v>
      </c>
      <c r="B118" s="3">
        <v>3</v>
      </c>
    </row>
    <row r="119" spans="1:2" ht="15">
      <c r="A119" s="119" t="s">
        <v>2811</v>
      </c>
      <c r="B119" s="3">
        <v>1</v>
      </c>
    </row>
    <row r="120" spans="1:2" ht="15">
      <c r="A120" s="119" t="s">
        <v>2784</v>
      </c>
      <c r="B120" s="3">
        <v>2</v>
      </c>
    </row>
    <row r="121" spans="1:2" ht="15">
      <c r="A121" s="119" t="s">
        <v>2781</v>
      </c>
      <c r="B121" s="3">
        <v>1</v>
      </c>
    </row>
    <row r="122" spans="1:2" ht="15">
      <c r="A122" s="119" t="s">
        <v>2789</v>
      </c>
      <c r="B122" s="3">
        <v>2</v>
      </c>
    </row>
    <row r="123" spans="1:2" ht="15">
      <c r="A123" s="118" t="s">
        <v>2814</v>
      </c>
      <c r="B123" s="3">
        <v>15</v>
      </c>
    </row>
    <row r="124" spans="1:2" ht="15">
      <c r="A124" s="119" t="s">
        <v>2803</v>
      </c>
      <c r="B124" s="3">
        <v>3</v>
      </c>
    </row>
    <row r="125" spans="1:2" ht="15">
      <c r="A125" s="119" t="s">
        <v>2813</v>
      </c>
      <c r="B125" s="3">
        <v>1</v>
      </c>
    </row>
    <row r="126" spans="1:2" ht="15">
      <c r="A126" s="119" t="s">
        <v>2798</v>
      </c>
      <c r="B126" s="3">
        <v>2</v>
      </c>
    </row>
    <row r="127" spans="1:2" ht="15">
      <c r="A127" s="119" t="s">
        <v>2799</v>
      </c>
      <c r="B127" s="3">
        <v>4</v>
      </c>
    </row>
    <row r="128" spans="1:2" ht="15">
      <c r="A128" s="119" t="s">
        <v>2784</v>
      </c>
      <c r="B128" s="3">
        <v>1</v>
      </c>
    </row>
    <row r="129" spans="1:2" ht="15">
      <c r="A129" s="119" t="s">
        <v>2793</v>
      </c>
      <c r="B129" s="3">
        <v>2</v>
      </c>
    </row>
    <row r="130" spans="1:2" ht="15">
      <c r="A130" s="119" t="s">
        <v>2788</v>
      </c>
      <c r="B130" s="3">
        <v>1</v>
      </c>
    </row>
    <row r="131" spans="1:2" ht="15">
      <c r="A131" s="119" t="s">
        <v>2794</v>
      </c>
      <c r="B131" s="3">
        <v>1</v>
      </c>
    </row>
    <row r="132" spans="1:2" ht="15">
      <c r="A132" s="116" t="s">
        <v>2775</v>
      </c>
      <c r="B132" s="3">
        <v>187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7.28125" style="0" customWidth="1"/>
    <col min="56" max="56" width="19.57421875" style="0" customWidth="1"/>
    <col min="57" max="57" width="17.421875" style="0" customWidth="1"/>
    <col min="58" max="58" width="19.57421875" style="0" customWidth="1"/>
    <col min="59" max="59" width="17.57421875" style="0" customWidth="1"/>
    <col min="60" max="60" width="19.57421875" style="0" customWidth="1"/>
    <col min="61" max="61" width="17.28125" style="0" customWidth="1"/>
    <col min="62" max="62" width="19.57421875" style="0" customWidth="1"/>
    <col min="63" max="63" width="19.28125" style="0" customWidth="1"/>
    <col min="64" max="64" width="19.57421875" style="0" customWidth="1"/>
    <col min="65" max="65" width="19.7109375" style="0" customWidth="1"/>
    <col min="66" max="66" width="24.28125" style="0" customWidth="1"/>
    <col min="67" max="67" width="19.7109375" style="0" customWidth="1"/>
    <col min="68" max="68" width="24.28125" style="0" customWidth="1"/>
    <col min="69" max="69" width="19.7109375" style="0" customWidth="1"/>
    <col min="70" max="70" width="24.28125" style="0" customWidth="1"/>
    <col min="71" max="71" width="18.57421875" style="0" customWidth="1"/>
    <col min="72" max="72" width="22.28125" style="0" customWidth="1"/>
    <col min="73" max="73" width="1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2847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996</v>
      </c>
      <c r="AF2" s="13" t="s">
        <v>997</v>
      </c>
      <c r="AG2" s="13" t="s">
        <v>998</v>
      </c>
      <c r="AH2" s="13" t="s">
        <v>999</v>
      </c>
      <c r="AI2" s="13" t="s">
        <v>1000</v>
      </c>
      <c r="AJ2" s="13" t="s">
        <v>1001</v>
      </c>
      <c r="AK2" s="13" t="s">
        <v>1002</v>
      </c>
      <c r="AL2" s="13" t="s">
        <v>1003</v>
      </c>
      <c r="AM2" s="13" t="s">
        <v>1004</v>
      </c>
      <c r="AN2" s="13" t="s">
        <v>1005</v>
      </c>
      <c r="AO2" s="13" t="s">
        <v>1006</v>
      </c>
      <c r="AP2" s="13" t="s">
        <v>1007</v>
      </c>
      <c r="AQ2" s="13" t="s">
        <v>1008</v>
      </c>
      <c r="AR2" s="13" t="s">
        <v>1009</v>
      </c>
      <c r="AS2" s="13" t="s">
        <v>1010</v>
      </c>
      <c r="AT2" s="13" t="s">
        <v>1011</v>
      </c>
      <c r="AU2" s="13" t="s">
        <v>214</v>
      </c>
      <c r="AV2" s="13" t="s">
        <v>1012</v>
      </c>
      <c r="AW2" s="13" t="s">
        <v>1013</v>
      </c>
      <c r="AX2" s="13" t="s">
        <v>1014</v>
      </c>
      <c r="AY2" s="13" t="s">
        <v>1015</v>
      </c>
      <c r="AZ2" s="13" t="s">
        <v>1016</v>
      </c>
      <c r="BA2" s="13" t="s">
        <v>1017</v>
      </c>
      <c r="BB2" s="13" t="s">
        <v>1817</v>
      </c>
      <c r="BC2" s="107" t="s">
        <v>2242</v>
      </c>
      <c r="BD2" s="107" t="s">
        <v>2260</v>
      </c>
      <c r="BE2" s="107" t="s">
        <v>2261</v>
      </c>
      <c r="BF2" s="107" t="s">
        <v>2266</v>
      </c>
      <c r="BG2" s="107" t="s">
        <v>2269</v>
      </c>
      <c r="BH2" s="107" t="s">
        <v>2272</v>
      </c>
      <c r="BI2" s="107" t="s">
        <v>2274</v>
      </c>
      <c r="BJ2" s="107" t="s">
        <v>2340</v>
      </c>
      <c r="BK2" s="107" t="s">
        <v>2353</v>
      </c>
      <c r="BL2" s="107" t="s">
        <v>2407</v>
      </c>
      <c r="BM2" s="107" t="s">
        <v>2727</v>
      </c>
      <c r="BN2" s="107" t="s">
        <v>2728</v>
      </c>
      <c r="BO2" s="107" t="s">
        <v>2729</v>
      </c>
      <c r="BP2" s="107" t="s">
        <v>2730</v>
      </c>
      <c r="BQ2" s="107" t="s">
        <v>2731</v>
      </c>
      <c r="BR2" s="107" t="s">
        <v>2732</v>
      </c>
      <c r="BS2" s="107" t="s">
        <v>2733</v>
      </c>
      <c r="BT2" s="107" t="s">
        <v>2734</v>
      </c>
      <c r="BU2" s="107" t="s">
        <v>2736</v>
      </c>
      <c r="BV2" s="3"/>
      <c r="BW2" s="3"/>
    </row>
    <row r="3" spans="1:75" ht="41.45" customHeight="1">
      <c r="A3" s="65" t="s">
        <v>366</v>
      </c>
      <c r="C3" s="66"/>
      <c r="D3" s="66" t="s">
        <v>64</v>
      </c>
      <c r="E3" s="67">
        <v>162.15791653772564</v>
      </c>
      <c r="F3" s="69"/>
      <c r="G3" s="103" t="str">
        <f>HYPERLINK("https://abs.twimg.com/sticky/default_profile_images/default_profile_normal.png")</f>
        <v>https://abs.twimg.com/sticky/default_profile_images/default_profile_normal.png</v>
      </c>
      <c r="H3" s="66"/>
      <c r="I3" s="70" t="s">
        <v>366</v>
      </c>
      <c r="J3" s="71"/>
      <c r="K3" s="71"/>
      <c r="L3" s="70" t="s">
        <v>1773</v>
      </c>
      <c r="M3" s="74">
        <v>1.1208135707652047</v>
      </c>
      <c r="N3" s="75">
        <v>1600.08154296875</v>
      </c>
      <c r="O3" s="75">
        <v>2584.820068359375</v>
      </c>
      <c r="P3" s="76"/>
      <c r="Q3" s="77"/>
      <c r="R3" s="77"/>
      <c r="S3" s="49"/>
      <c r="T3" s="49">
        <v>1</v>
      </c>
      <c r="U3" s="49">
        <v>1</v>
      </c>
      <c r="V3" s="50">
        <v>0</v>
      </c>
      <c r="W3" s="50">
        <v>0</v>
      </c>
      <c r="X3" s="50">
        <v>0</v>
      </c>
      <c r="Y3" s="50">
        <v>0.999997</v>
      </c>
      <c r="Z3" s="50">
        <v>0</v>
      </c>
      <c r="AA3" s="50">
        <v>0</v>
      </c>
      <c r="AB3" s="72">
        <v>3</v>
      </c>
      <c r="AC3" s="72"/>
      <c r="AD3" s="73"/>
      <c r="AE3" s="79" t="s">
        <v>1180</v>
      </c>
      <c r="AF3" s="88" t="s">
        <v>1338</v>
      </c>
      <c r="AG3" s="79">
        <v>1208</v>
      </c>
      <c r="AH3" s="79">
        <v>313</v>
      </c>
      <c r="AI3" s="79">
        <v>926</v>
      </c>
      <c r="AJ3" s="79">
        <v>1335</v>
      </c>
      <c r="AK3" s="79"/>
      <c r="AL3" s="79" t="s">
        <v>1500</v>
      </c>
      <c r="AM3" s="79" t="s">
        <v>1589</v>
      </c>
      <c r="AN3" s="79"/>
      <c r="AO3" s="79"/>
      <c r="AP3" s="81">
        <v>43184.58642361111</v>
      </c>
      <c r="AQ3" s="79"/>
      <c r="AR3" s="79" t="b">
        <v>1</v>
      </c>
      <c r="AS3" s="79" t="b">
        <v>1</v>
      </c>
      <c r="AT3" s="79" t="b">
        <v>0</v>
      </c>
      <c r="AU3" s="79"/>
      <c r="AV3" s="79">
        <v>1</v>
      </c>
      <c r="AW3" s="79"/>
      <c r="AX3" s="79" t="b">
        <v>0</v>
      </c>
      <c r="AY3" s="79" t="s">
        <v>1601</v>
      </c>
      <c r="AZ3" s="84" t="str">
        <f>HYPERLINK("https://twitter.com/sallypwynn")</f>
        <v>https://twitter.com/sallypwynn</v>
      </c>
      <c r="BA3" s="79" t="s">
        <v>66</v>
      </c>
      <c r="BB3" s="79" t="str">
        <f>REPLACE(INDEX(GroupVertices[Group],MATCH(Vertices[[#This Row],[Vertex]],GroupVertices[Vertex],0)),1,1,"")</f>
        <v>2</v>
      </c>
      <c r="BC3" s="49" t="s">
        <v>1840</v>
      </c>
      <c r="BD3" s="49" t="s">
        <v>1840</v>
      </c>
      <c r="BE3" s="49" t="s">
        <v>529</v>
      </c>
      <c r="BF3" s="49" t="s">
        <v>529</v>
      </c>
      <c r="BG3" s="49"/>
      <c r="BH3" s="49"/>
      <c r="BI3" s="108" t="s">
        <v>2275</v>
      </c>
      <c r="BJ3" s="108" t="s">
        <v>2275</v>
      </c>
      <c r="BK3" s="108" t="s">
        <v>2354</v>
      </c>
      <c r="BL3" s="108" t="s">
        <v>2354</v>
      </c>
      <c r="BM3" s="108">
        <v>0</v>
      </c>
      <c r="BN3" s="111">
        <v>0</v>
      </c>
      <c r="BO3" s="108">
        <v>0</v>
      </c>
      <c r="BP3" s="111">
        <v>0</v>
      </c>
      <c r="BQ3" s="108">
        <v>0</v>
      </c>
      <c r="BR3" s="111">
        <v>0</v>
      </c>
      <c r="BS3" s="108">
        <v>16</v>
      </c>
      <c r="BT3" s="111">
        <v>100</v>
      </c>
      <c r="BU3" s="108">
        <v>16</v>
      </c>
      <c r="BV3" s="3"/>
      <c r="BW3" s="3"/>
    </row>
    <row r="4" spans="1:78" ht="41.45" customHeight="1">
      <c r="A4" s="65" t="s">
        <v>234</v>
      </c>
      <c r="C4" s="66"/>
      <c r="D4" s="66" t="s">
        <v>64</v>
      </c>
      <c r="E4" s="67">
        <v>162.65941506328244</v>
      </c>
      <c r="F4" s="69"/>
      <c r="G4" s="103" t="str">
        <f>HYPERLINK("https://pbs.twimg.com/profile_images/1336341461307047936/cVJ9-DD6_normal.jpg")</f>
        <v>https://pbs.twimg.com/profile_images/1336341461307047936/cVJ9-DD6_normal.jpg</v>
      </c>
      <c r="H4" s="66"/>
      <c r="I4" s="70" t="s">
        <v>234</v>
      </c>
      <c r="J4" s="71"/>
      <c r="K4" s="71"/>
      <c r="L4" s="70" t="s">
        <v>1602</v>
      </c>
      <c r="M4" s="74">
        <v>1.5044835047607754</v>
      </c>
      <c r="N4" s="75">
        <v>9205.6015625</v>
      </c>
      <c r="O4" s="75">
        <v>6550.39208984375</v>
      </c>
      <c r="P4" s="76"/>
      <c r="Q4" s="77"/>
      <c r="R4" s="77"/>
      <c r="S4" s="89"/>
      <c r="T4" s="49">
        <v>1</v>
      </c>
      <c r="U4" s="49">
        <v>1</v>
      </c>
      <c r="V4" s="50">
        <v>0</v>
      </c>
      <c r="W4" s="50">
        <v>0.5</v>
      </c>
      <c r="X4" s="50">
        <v>0</v>
      </c>
      <c r="Y4" s="50">
        <v>0.999997</v>
      </c>
      <c r="Z4" s="50">
        <v>0.5</v>
      </c>
      <c r="AA4" s="50">
        <v>0</v>
      </c>
      <c r="AB4" s="72">
        <v>4</v>
      </c>
      <c r="AC4" s="72"/>
      <c r="AD4" s="73"/>
      <c r="AE4" s="79" t="s">
        <v>1018</v>
      </c>
      <c r="AF4" s="88" t="s">
        <v>1181</v>
      </c>
      <c r="AG4" s="79">
        <v>101</v>
      </c>
      <c r="AH4" s="79">
        <v>1307</v>
      </c>
      <c r="AI4" s="79">
        <v>778</v>
      </c>
      <c r="AJ4" s="79">
        <v>159</v>
      </c>
      <c r="AK4" s="79"/>
      <c r="AL4" s="79" t="s">
        <v>1339</v>
      </c>
      <c r="AM4" s="79" t="s">
        <v>1501</v>
      </c>
      <c r="AN4" s="84" t="str">
        <f>HYPERLINK("https://t.co/So8wkKQTEV")</f>
        <v>https://t.co/So8wkKQTEV</v>
      </c>
      <c r="AO4" s="79"/>
      <c r="AP4" s="81">
        <v>44173.65957175926</v>
      </c>
      <c r="AQ4" s="84" t="str">
        <f>HYPERLINK("https://pbs.twimg.com/profile_banners/1336336918510899200/1607443607")</f>
        <v>https://pbs.twimg.com/profile_banners/1336336918510899200/1607443607</v>
      </c>
      <c r="AR4" s="79" t="b">
        <v>1</v>
      </c>
      <c r="AS4" s="79" t="b">
        <v>0</v>
      </c>
      <c r="AT4" s="79" t="b">
        <v>0</v>
      </c>
      <c r="AU4" s="79"/>
      <c r="AV4" s="79">
        <v>6</v>
      </c>
      <c r="AW4" s="79"/>
      <c r="AX4" s="79" t="b">
        <v>0</v>
      </c>
      <c r="AY4" s="79" t="s">
        <v>1601</v>
      </c>
      <c r="AZ4" s="84" t="str">
        <f>HYPERLINK("https://twitter.com/plantfinance")</f>
        <v>https://twitter.com/plantfinance</v>
      </c>
      <c r="BA4" s="79" t="s">
        <v>66</v>
      </c>
      <c r="BB4" s="79" t="str">
        <f>REPLACE(INDEX(GroupVertices[Group],MATCH(Vertices[[#This Row],[Vertex]],GroupVertices[Vertex],0)),1,1,"")</f>
        <v>16</v>
      </c>
      <c r="BC4" s="49"/>
      <c r="BD4" s="49"/>
      <c r="BE4" s="49"/>
      <c r="BF4" s="49"/>
      <c r="BG4" s="49"/>
      <c r="BH4" s="49"/>
      <c r="BI4" s="108" t="s">
        <v>2276</v>
      </c>
      <c r="BJ4" s="108" t="s">
        <v>2276</v>
      </c>
      <c r="BK4" s="108" t="s">
        <v>2164</v>
      </c>
      <c r="BL4" s="108" t="s">
        <v>2164</v>
      </c>
      <c r="BM4" s="108">
        <v>1</v>
      </c>
      <c r="BN4" s="111">
        <v>2.2222222222222223</v>
      </c>
      <c r="BO4" s="108">
        <v>0</v>
      </c>
      <c r="BP4" s="111">
        <v>0</v>
      </c>
      <c r="BQ4" s="108">
        <v>0</v>
      </c>
      <c r="BR4" s="111">
        <v>0</v>
      </c>
      <c r="BS4" s="108">
        <v>44</v>
      </c>
      <c r="BT4" s="111">
        <v>97.77777777777777</v>
      </c>
      <c r="BU4" s="108">
        <v>45</v>
      </c>
      <c r="BV4" s="2"/>
      <c r="BW4" s="3"/>
      <c r="BX4" s="3"/>
      <c r="BY4" s="3"/>
      <c r="BZ4" s="3"/>
    </row>
    <row r="5" spans="1:78" ht="41.45" customHeight="1">
      <c r="A5" s="65" t="s">
        <v>367</v>
      </c>
      <c r="C5" s="66"/>
      <c r="D5" s="66" t="s">
        <v>64</v>
      </c>
      <c r="E5" s="67">
        <v>172.165687918958</v>
      </c>
      <c r="F5" s="69"/>
      <c r="G5" s="103" t="str">
        <f>HYPERLINK("https://pbs.twimg.com/profile_images/1434788508594491393/yX24ofpU_normal.png")</f>
        <v>https://pbs.twimg.com/profile_images/1434788508594491393/yX24ofpU_normal.png</v>
      </c>
      <c r="H5" s="66"/>
      <c r="I5" s="70" t="s">
        <v>367</v>
      </c>
      <c r="J5" s="71"/>
      <c r="K5" s="71"/>
      <c r="L5" s="70" t="s">
        <v>1603</v>
      </c>
      <c r="M5" s="74">
        <v>8.777228873316648</v>
      </c>
      <c r="N5" s="75">
        <v>9205.6015625</v>
      </c>
      <c r="O5" s="75">
        <v>6092.32275390625</v>
      </c>
      <c r="P5" s="76"/>
      <c r="Q5" s="77"/>
      <c r="R5" s="77"/>
      <c r="S5" s="89"/>
      <c r="T5" s="49">
        <v>2</v>
      </c>
      <c r="U5" s="49">
        <v>0</v>
      </c>
      <c r="V5" s="50">
        <v>0</v>
      </c>
      <c r="W5" s="50">
        <v>0.5</v>
      </c>
      <c r="X5" s="50">
        <v>0</v>
      </c>
      <c r="Y5" s="50">
        <v>0.999997</v>
      </c>
      <c r="Z5" s="50">
        <v>0.5</v>
      </c>
      <c r="AA5" s="50">
        <v>0</v>
      </c>
      <c r="AB5" s="72">
        <v>5</v>
      </c>
      <c r="AC5" s="72"/>
      <c r="AD5" s="73"/>
      <c r="AE5" s="79" t="s">
        <v>1019</v>
      </c>
      <c r="AF5" s="88" t="s">
        <v>1182</v>
      </c>
      <c r="AG5" s="79">
        <v>1066</v>
      </c>
      <c r="AH5" s="79">
        <v>20149</v>
      </c>
      <c r="AI5" s="79">
        <v>7624</v>
      </c>
      <c r="AJ5" s="79">
        <v>628</v>
      </c>
      <c r="AK5" s="79"/>
      <c r="AL5" s="79" t="s">
        <v>1340</v>
      </c>
      <c r="AM5" s="79" t="s">
        <v>1502</v>
      </c>
      <c r="AN5" s="84" t="str">
        <f>HYPERLINK("https://t.co/326j1X3Qap")</f>
        <v>https://t.co/326j1X3Qap</v>
      </c>
      <c r="AO5" s="79"/>
      <c r="AP5" s="81">
        <v>41761.90603009259</v>
      </c>
      <c r="AQ5" s="84" t="str">
        <f>HYPERLINK("https://pbs.twimg.com/profile_banners/2474568630/1399067180")</f>
        <v>https://pbs.twimg.com/profile_banners/2474568630/1399067180</v>
      </c>
      <c r="AR5" s="79" t="b">
        <v>0</v>
      </c>
      <c r="AS5" s="79" t="b">
        <v>0</v>
      </c>
      <c r="AT5" s="79" t="b">
        <v>0</v>
      </c>
      <c r="AU5" s="79"/>
      <c r="AV5" s="79">
        <v>445</v>
      </c>
      <c r="AW5" s="84" t="str">
        <f>HYPERLINK("https://abs.twimg.com/images/themes/theme1/bg.png")</f>
        <v>https://abs.twimg.com/images/themes/theme1/bg.png</v>
      </c>
      <c r="AX5" s="79" t="b">
        <v>0</v>
      </c>
      <c r="AY5" s="79" t="s">
        <v>1601</v>
      </c>
      <c r="AZ5" s="84" t="str">
        <f>HYPERLINK("https://twitter.com/oupeconomics")</f>
        <v>https://twitter.com/oupeconomics</v>
      </c>
      <c r="BA5" s="79" t="s">
        <v>65</v>
      </c>
      <c r="BB5" s="79" t="str">
        <f>REPLACE(INDEX(GroupVertices[Group],MATCH(Vertices[[#This Row],[Vertex]],GroupVertices[Vertex],0)),1,1,"")</f>
        <v>16</v>
      </c>
      <c r="BC5" s="49"/>
      <c r="BD5" s="49"/>
      <c r="BE5" s="49"/>
      <c r="BF5" s="49"/>
      <c r="BG5" s="49"/>
      <c r="BH5" s="49"/>
      <c r="BI5" s="49"/>
      <c r="BJ5" s="49"/>
      <c r="BK5" s="49"/>
      <c r="BL5" s="49"/>
      <c r="BM5" s="49"/>
      <c r="BN5" s="50"/>
      <c r="BO5" s="49"/>
      <c r="BP5" s="50"/>
      <c r="BQ5" s="49"/>
      <c r="BR5" s="50"/>
      <c r="BS5" s="49"/>
      <c r="BT5" s="50"/>
      <c r="BU5" s="49"/>
      <c r="BV5" s="2"/>
      <c r="BW5" s="3"/>
      <c r="BX5" s="3"/>
      <c r="BY5" s="3"/>
      <c r="BZ5" s="3"/>
    </row>
    <row r="6" spans="1:78" ht="41.45" customHeight="1">
      <c r="A6" s="65" t="s">
        <v>235</v>
      </c>
      <c r="C6" s="66"/>
      <c r="D6" s="66" t="s">
        <v>64</v>
      </c>
      <c r="E6" s="67">
        <v>164.32334075471744</v>
      </c>
      <c r="F6" s="69"/>
      <c r="G6" s="103" t="str">
        <f>HYPERLINK("https://pbs.twimg.com/profile_images/648533275934261248/Qv9_WLuZ_normal.jpg")</f>
        <v>https://pbs.twimg.com/profile_images/648533275934261248/Qv9_WLuZ_normal.jpg</v>
      </c>
      <c r="H6" s="66"/>
      <c r="I6" s="70" t="s">
        <v>235</v>
      </c>
      <c r="J6" s="71"/>
      <c r="K6" s="71"/>
      <c r="L6" s="70" t="s">
        <v>1604</v>
      </c>
      <c r="M6" s="74">
        <v>2.777464835059962</v>
      </c>
      <c r="N6" s="75">
        <v>9444.70703125</v>
      </c>
      <c r="O6" s="75">
        <v>6550.39208984375</v>
      </c>
      <c r="P6" s="76"/>
      <c r="Q6" s="77"/>
      <c r="R6" s="77"/>
      <c r="S6" s="89"/>
      <c r="T6" s="49">
        <v>0</v>
      </c>
      <c r="U6" s="49">
        <v>2</v>
      </c>
      <c r="V6" s="50">
        <v>0</v>
      </c>
      <c r="W6" s="50">
        <v>0.5</v>
      </c>
      <c r="X6" s="50">
        <v>0</v>
      </c>
      <c r="Y6" s="50">
        <v>0.999997</v>
      </c>
      <c r="Z6" s="50">
        <v>0.5</v>
      </c>
      <c r="AA6" s="50">
        <v>0</v>
      </c>
      <c r="AB6" s="72">
        <v>6</v>
      </c>
      <c r="AC6" s="72"/>
      <c r="AD6" s="73"/>
      <c r="AE6" s="79" t="s">
        <v>1020</v>
      </c>
      <c r="AF6" s="88" t="s">
        <v>1183</v>
      </c>
      <c r="AG6" s="79">
        <v>2912</v>
      </c>
      <c r="AH6" s="79">
        <v>4605</v>
      </c>
      <c r="AI6" s="79">
        <v>12878</v>
      </c>
      <c r="AJ6" s="79">
        <v>18178</v>
      </c>
      <c r="AK6" s="79"/>
      <c r="AL6" s="79" t="s">
        <v>1341</v>
      </c>
      <c r="AM6" s="79" t="s">
        <v>1503</v>
      </c>
      <c r="AN6" s="84" t="str">
        <f>HYPERLINK("https://t.co/aGKrK8e0WH")</f>
        <v>https://t.co/aGKrK8e0WH</v>
      </c>
      <c r="AO6" s="79"/>
      <c r="AP6" s="81">
        <v>39926.90241898148</v>
      </c>
      <c r="AQ6" s="84" t="str">
        <f>HYPERLINK("https://pbs.twimg.com/profile_banners/34739179/1475167767")</f>
        <v>https://pbs.twimg.com/profile_banners/34739179/1475167767</v>
      </c>
      <c r="AR6" s="79" t="b">
        <v>0</v>
      </c>
      <c r="AS6" s="79" t="b">
        <v>0</v>
      </c>
      <c r="AT6" s="79" t="b">
        <v>0</v>
      </c>
      <c r="AU6" s="79"/>
      <c r="AV6" s="79">
        <v>68</v>
      </c>
      <c r="AW6" s="84" t="str">
        <f>HYPERLINK("https://abs.twimg.com/images/themes/theme14/bg.gif")</f>
        <v>https://abs.twimg.com/images/themes/theme14/bg.gif</v>
      </c>
      <c r="AX6" s="79" t="b">
        <v>0</v>
      </c>
      <c r="AY6" s="79" t="s">
        <v>1601</v>
      </c>
      <c r="AZ6" s="84" t="str">
        <f>HYPERLINK("https://twitter.com/jeremyszafron")</f>
        <v>https://twitter.com/jeremyszafron</v>
      </c>
      <c r="BA6" s="79" t="s">
        <v>66</v>
      </c>
      <c r="BB6" s="79" t="str">
        <f>REPLACE(INDEX(GroupVertices[Group],MATCH(Vertices[[#This Row],[Vertex]],GroupVertices[Vertex],0)),1,1,"")</f>
        <v>16</v>
      </c>
      <c r="BC6" s="49"/>
      <c r="BD6" s="49"/>
      <c r="BE6" s="49"/>
      <c r="BF6" s="49"/>
      <c r="BG6" s="49"/>
      <c r="BH6" s="49"/>
      <c r="BI6" s="108" t="s">
        <v>2276</v>
      </c>
      <c r="BJ6" s="108" t="s">
        <v>2276</v>
      </c>
      <c r="BK6" s="108" t="s">
        <v>2164</v>
      </c>
      <c r="BL6" s="108" t="s">
        <v>2164</v>
      </c>
      <c r="BM6" s="108">
        <v>1</v>
      </c>
      <c r="BN6" s="111">
        <v>2.2222222222222223</v>
      </c>
      <c r="BO6" s="108">
        <v>0</v>
      </c>
      <c r="BP6" s="111">
        <v>0</v>
      </c>
      <c r="BQ6" s="108">
        <v>0</v>
      </c>
      <c r="BR6" s="111">
        <v>0</v>
      </c>
      <c r="BS6" s="108">
        <v>44</v>
      </c>
      <c r="BT6" s="111">
        <v>97.77777777777777</v>
      </c>
      <c r="BU6" s="108">
        <v>45</v>
      </c>
      <c r="BV6" s="2"/>
      <c r="BW6" s="3"/>
      <c r="BX6" s="3"/>
      <c r="BY6" s="3"/>
      <c r="BZ6" s="3"/>
    </row>
    <row r="7" spans="1:78" ht="41.45" customHeight="1">
      <c r="A7" s="65" t="s">
        <v>236</v>
      </c>
      <c r="C7" s="66"/>
      <c r="D7" s="66" t="s">
        <v>64</v>
      </c>
      <c r="E7" s="67">
        <v>173.82860455903372</v>
      </c>
      <c r="F7" s="69"/>
      <c r="G7" s="103" t="str">
        <f>HYPERLINK("https://pbs.twimg.com/profile_images/1440117577603108868/mjjvO7pt_normal.jpg")</f>
        <v>https://pbs.twimg.com/profile_images/1440117577603108868/mjjvO7pt_normal.jpg</v>
      </c>
      <c r="H7" s="66"/>
      <c r="I7" s="70" t="s">
        <v>236</v>
      </c>
      <c r="J7" s="71"/>
      <c r="K7" s="71"/>
      <c r="L7" s="70" t="s">
        <v>1605</v>
      </c>
      <c r="M7" s="74">
        <v>10.049438231917655</v>
      </c>
      <c r="N7" s="75">
        <v>7767.33935546875</v>
      </c>
      <c r="O7" s="75">
        <v>3448.60791015625</v>
      </c>
      <c r="P7" s="76"/>
      <c r="Q7" s="77"/>
      <c r="R7" s="77"/>
      <c r="S7" s="89"/>
      <c r="T7" s="49">
        <v>0</v>
      </c>
      <c r="U7" s="49">
        <v>1</v>
      </c>
      <c r="V7" s="50">
        <v>0</v>
      </c>
      <c r="W7" s="50">
        <v>1</v>
      </c>
      <c r="X7" s="50">
        <v>0</v>
      </c>
      <c r="Y7" s="50">
        <v>0.999997</v>
      </c>
      <c r="Z7" s="50">
        <v>0</v>
      </c>
      <c r="AA7" s="50">
        <v>0</v>
      </c>
      <c r="AB7" s="72">
        <v>7</v>
      </c>
      <c r="AC7" s="72"/>
      <c r="AD7" s="73"/>
      <c r="AE7" s="79" t="s">
        <v>1021</v>
      </c>
      <c r="AF7" s="88" t="s">
        <v>1184</v>
      </c>
      <c r="AG7" s="79">
        <v>13790</v>
      </c>
      <c r="AH7" s="79">
        <v>23445</v>
      </c>
      <c r="AI7" s="79">
        <v>49156</v>
      </c>
      <c r="AJ7" s="79">
        <v>6865</v>
      </c>
      <c r="AK7" s="79"/>
      <c r="AL7" s="79" t="s">
        <v>1342</v>
      </c>
      <c r="AM7" s="79" t="s">
        <v>1504</v>
      </c>
      <c r="AN7" s="84" t="str">
        <f>HYPERLINK("https://t.co/pKoYkmagQT")</f>
        <v>https://t.co/pKoYkmagQT</v>
      </c>
      <c r="AO7" s="79"/>
      <c r="AP7" s="81">
        <v>40233.22081018519</v>
      </c>
      <c r="AQ7" s="79"/>
      <c r="AR7" s="79" t="b">
        <v>0</v>
      </c>
      <c r="AS7" s="79" t="b">
        <v>0</v>
      </c>
      <c r="AT7" s="79" t="b">
        <v>1</v>
      </c>
      <c r="AU7" s="79"/>
      <c r="AV7" s="79">
        <v>1058</v>
      </c>
      <c r="AW7" s="84" t="str">
        <f>HYPERLINK("https://abs.twimg.com/images/themes/theme18/bg.gif")</f>
        <v>https://abs.twimg.com/images/themes/theme18/bg.gif</v>
      </c>
      <c r="AX7" s="79" t="b">
        <v>0</v>
      </c>
      <c r="AY7" s="79" t="s">
        <v>1601</v>
      </c>
      <c r="AZ7" s="84" t="str">
        <f>HYPERLINK("https://twitter.com/michelersimon")</f>
        <v>https://twitter.com/michelersimon</v>
      </c>
      <c r="BA7" s="79" t="s">
        <v>66</v>
      </c>
      <c r="BB7" s="79" t="str">
        <f>REPLACE(INDEX(GroupVertices[Group],MATCH(Vertices[[#This Row],[Vertex]],GroupVertices[Vertex],0)),1,1,"")</f>
        <v>28</v>
      </c>
      <c r="BC7" s="49" t="s">
        <v>1897</v>
      </c>
      <c r="BD7" s="49" t="s">
        <v>1897</v>
      </c>
      <c r="BE7" s="49" t="s">
        <v>512</v>
      </c>
      <c r="BF7" s="49" t="s">
        <v>512</v>
      </c>
      <c r="BG7" s="49"/>
      <c r="BH7" s="49"/>
      <c r="BI7" s="108" t="s">
        <v>2277</v>
      </c>
      <c r="BJ7" s="108" t="s">
        <v>2277</v>
      </c>
      <c r="BK7" s="108" t="s">
        <v>2355</v>
      </c>
      <c r="BL7" s="108" t="s">
        <v>2355</v>
      </c>
      <c r="BM7" s="108">
        <v>0</v>
      </c>
      <c r="BN7" s="111">
        <v>0</v>
      </c>
      <c r="BO7" s="108">
        <v>0</v>
      </c>
      <c r="BP7" s="111">
        <v>0</v>
      </c>
      <c r="BQ7" s="108">
        <v>0</v>
      </c>
      <c r="BR7" s="111">
        <v>0</v>
      </c>
      <c r="BS7" s="108">
        <v>31</v>
      </c>
      <c r="BT7" s="111">
        <v>100</v>
      </c>
      <c r="BU7" s="108">
        <v>31</v>
      </c>
      <c r="BV7" s="2"/>
      <c r="BW7" s="3"/>
      <c r="BX7" s="3"/>
      <c r="BY7" s="3"/>
      <c r="BZ7" s="3"/>
    </row>
    <row r="8" spans="1:78" ht="41.45" customHeight="1">
      <c r="A8" s="65" t="s">
        <v>368</v>
      </c>
      <c r="C8" s="66"/>
      <c r="D8" s="66" t="s">
        <v>64</v>
      </c>
      <c r="E8" s="67">
        <v>162.39857528691135</v>
      </c>
      <c r="F8" s="69"/>
      <c r="G8" s="103" t="str">
        <f>HYPERLINK("https://pbs.twimg.com/profile_images/461462140340019200/j8M60M_9_normal.jpeg")</f>
        <v>https://pbs.twimg.com/profile_images/461462140340019200/j8M60M_9_normal.jpeg</v>
      </c>
      <c r="H8" s="66"/>
      <c r="I8" s="70" t="s">
        <v>368</v>
      </c>
      <c r="J8" s="71"/>
      <c r="K8" s="71"/>
      <c r="L8" s="70" t="s">
        <v>1606</v>
      </c>
      <c r="M8" s="74">
        <v>1.3049288207811878</v>
      </c>
      <c r="N8" s="75">
        <v>7767.33935546875</v>
      </c>
      <c r="O8" s="75">
        <v>3697.274169921875</v>
      </c>
      <c r="P8" s="76"/>
      <c r="Q8" s="77"/>
      <c r="R8" s="77"/>
      <c r="S8" s="89"/>
      <c r="T8" s="49">
        <v>1</v>
      </c>
      <c r="U8" s="49">
        <v>0</v>
      </c>
      <c r="V8" s="50">
        <v>0</v>
      </c>
      <c r="W8" s="50">
        <v>1</v>
      </c>
      <c r="X8" s="50">
        <v>0</v>
      </c>
      <c r="Y8" s="50">
        <v>0.999997</v>
      </c>
      <c r="Z8" s="50">
        <v>0</v>
      </c>
      <c r="AA8" s="50">
        <v>0</v>
      </c>
      <c r="AB8" s="72">
        <v>8</v>
      </c>
      <c r="AC8" s="72"/>
      <c r="AD8" s="73"/>
      <c r="AE8" s="79" t="s">
        <v>1022</v>
      </c>
      <c r="AF8" s="88" t="s">
        <v>953</v>
      </c>
      <c r="AG8" s="79">
        <v>159</v>
      </c>
      <c r="AH8" s="79">
        <v>790</v>
      </c>
      <c r="AI8" s="79">
        <v>10467</v>
      </c>
      <c r="AJ8" s="79">
        <v>4848</v>
      </c>
      <c r="AK8" s="79"/>
      <c r="AL8" s="79" t="s">
        <v>1343</v>
      </c>
      <c r="AM8" s="79" t="s">
        <v>1505</v>
      </c>
      <c r="AN8" s="84" t="str">
        <f>HYPERLINK("https://t.co/0OH5vaUo5f")</f>
        <v>https://t.co/0OH5vaUo5f</v>
      </c>
      <c r="AO8" s="79"/>
      <c r="AP8" s="81">
        <v>41596.97193287037</v>
      </c>
      <c r="AQ8" s="84" t="str">
        <f>HYPERLINK("https://pbs.twimg.com/profile_banners/2186655437/1528454752")</f>
        <v>https://pbs.twimg.com/profile_banners/2186655437/1528454752</v>
      </c>
      <c r="AR8" s="79" t="b">
        <v>0</v>
      </c>
      <c r="AS8" s="79" t="b">
        <v>0</v>
      </c>
      <c r="AT8" s="79" t="b">
        <v>1</v>
      </c>
      <c r="AU8" s="79"/>
      <c r="AV8" s="79">
        <v>10</v>
      </c>
      <c r="AW8" s="84" t="str">
        <f>HYPERLINK("https://abs.twimg.com/images/themes/theme1/bg.png")</f>
        <v>https://abs.twimg.com/images/themes/theme1/bg.png</v>
      </c>
      <c r="AX8" s="79" t="b">
        <v>0</v>
      </c>
      <c r="AY8" s="79" t="s">
        <v>1601</v>
      </c>
      <c r="AZ8" s="84" t="str">
        <f>HYPERLINK("https://twitter.com/freewheal")</f>
        <v>https://twitter.com/freewheal</v>
      </c>
      <c r="BA8" s="79" t="s">
        <v>65</v>
      </c>
      <c r="BB8" s="79" t="str">
        <f>REPLACE(INDEX(GroupVertices[Group],MATCH(Vertices[[#This Row],[Vertex]],GroupVertices[Vertex],0)),1,1,"")</f>
        <v>28</v>
      </c>
      <c r="BC8" s="49"/>
      <c r="BD8" s="49"/>
      <c r="BE8" s="49"/>
      <c r="BF8" s="49"/>
      <c r="BG8" s="49"/>
      <c r="BH8" s="49"/>
      <c r="BI8" s="49"/>
      <c r="BJ8" s="49"/>
      <c r="BK8" s="49"/>
      <c r="BL8" s="49"/>
      <c r="BM8" s="49"/>
      <c r="BN8" s="50"/>
      <c r="BO8" s="49"/>
      <c r="BP8" s="50"/>
      <c r="BQ8" s="49"/>
      <c r="BR8" s="50"/>
      <c r="BS8" s="49"/>
      <c r="BT8" s="50"/>
      <c r="BU8" s="49"/>
      <c r="BV8" s="2"/>
      <c r="BW8" s="3"/>
      <c r="BX8" s="3"/>
      <c r="BY8" s="3"/>
      <c r="BZ8" s="3"/>
    </row>
    <row r="9" spans="1:78" ht="41.45" customHeight="1">
      <c r="A9" s="65" t="s">
        <v>237</v>
      </c>
      <c r="C9" s="66"/>
      <c r="D9" s="66" t="s">
        <v>64</v>
      </c>
      <c r="E9" s="67">
        <v>163.0781713773792</v>
      </c>
      <c r="F9" s="69"/>
      <c r="G9" s="103" t="str">
        <f>HYPERLINK("https://pbs.twimg.com/profile_images/1438764765548093442/1FYO4i0I_normal.jpg")</f>
        <v>https://pbs.twimg.com/profile_images/1438764765548093442/1FYO4i0I_normal.jpg</v>
      </c>
      <c r="H9" s="66"/>
      <c r="I9" s="70" t="s">
        <v>237</v>
      </c>
      <c r="J9" s="71"/>
      <c r="K9" s="71"/>
      <c r="L9" s="70" t="s">
        <v>1607</v>
      </c>
      <c r="M9" s="74">
        <v>1.8248517595055675</v>
      </c>
      <c r="N9" s="75">
        <v>8179.5791015625</v>
      </c>
      <c r="O9" s="75">
        <v>8126.51025390625</v>
      </c>
      <c r="P9" s="76"/>
      <c r="Q9" s="77"/>
      <c r="R9" s="77"/>
      <c r="S9" s="89"/>
      <c r="T9" s="49">
        <v>0</v>
      </c>
      <c r="U9" s="49">
        <v>1</v>
      </c>
      <c r="V9" s="50">
        <v>0</v>
      </c>
      <c r="W9" s="50">
        <v>0.071429</v>
      </c>
      <c r="X9" s="50">
        <v>0</v>
      </c>
      <c r="Y9" s="50">
        <v>0.483705</v>
      </c>
      <c r="Z9" s="50">
        <v>0</v>
      </c>
      <c r="AA9" s="50">
        <v>0</v>
      </c>
      <c r="AB9" s="72">
        <v>9</v>
      </c>
      <c r="AC9" s="72"/>
      <c r="AD9" s="73"/>
      <c r="AE9" s="79" t="s">
        <v>1023</v>
      </c>
      <c r="AF9" s="88" t="s">
        <v>1185</v>
      </c>
      <c r="AG9" s="79">
        <v>1816</v>
      </c>
      <c r="AH9" s="79">
        <v>2137</v>
      </c>
      <c r="AI9" s="79">
        <v>4543</v>
      </c>
      <c r="AJ9" s="79">
        <v>2529</v>
      </c>
      <c r="AK9" s="79"/>
      <c r="AL9" s="79" t="s">
        <v>1344</v>
      </c>
      <c r="AM9" s="79" t="s">
        <v>1506</v>
      </c>
      <c r="AN9" s="84" t="str">
        <f>HYPERLINK("https://t.co/Iv3bHyU7lo")</f>
        <v>https://t.co/Iv3bHyU7lo</v>
      </c>
      <c r="AO9" s="79"/>
      <c r="AP9" s="81">
        <v>43423.6499537037</v>
      </c>
      <c r="AQ9" s="84" t="str">
        <f>HYPERLINK("https://pbs.twimg.com/profile_banners/1064542799088025600/1587366790")</f>
        <v>https://pbs.twimg.com/profile_banners/1064542799088025600/1587366790</v>
      </c>
      <c r="AR9" s="79" t="b">
        <v>0</v>
      </c>
      <c r="AS9" s="79" t="b">
        <v>0</v>
      </c>
      <c r="AT9" s="79" t="b">
        <v>0</v>
      </c>
      <c r="AU9" s="79"/>
      <c r="AV9" s="79">
        <v>33</v>
      </c>
      <c r="AW9" s="84" t="str">
        <f>HYPERLINK("https://abs.twimg.com/images/themes/theme1/bg.png")</f>
        <v>https://abs.twimg.com/images/themes/theme1/bg.png</v>
      </c>
      <c r="AX9" s="79" t="b">
        <v>0</v>
      </c>
      <c r="AY9" s="79" t="s">
        <v>1601</v>
      </c>
      <c r="AZ9" s="84" t="str">
        <f>HYPERLINK("https://twitter.com/foodpreneurscom")</f>
        <v>https://twitter.com/foodpreneurscom</v>
      </c>
      <c r="BA9" s="79" t="s">
        <v>66</v>
      </c>
      <c r="BB9" s="79" t="str">
        <f>REPLACE(INDEX(GroupVertices[Group],MATCH(Vertices[[#This Row],[Vertex]],GroupVertices[Vertex],0)),1,1,"")</f>
        <v>5</v>
      </c>
      <c r="BC9" s="49" t="s">
        <v>1866</v>
      </c>
      <c r="BD9" s="49" t="s">
        <v>1866</v>
      </c>
      <c r="BE9" s="49" t="s">
        <v>513</v>
      </c>
      <c r="BF9" s="49" t="s">
        <v>513</v>
      </c>
      <c r="BG9" s="49"/>
      <c r="BH9" s="49"/>
      <c r="BI9" s="108" t="s">
        <v>2278</v>
      </c>
      <c r="BJ9" s="108" t="s">
        <v>2278</v>
      </c>
      <c r="BK9" s="108" t="s">
        <v>2356</v>
      </c>
      <c r="BL9" s="108" t="s">
        <v>2356</v>
      </c>
      <c r="BM9" s="108">
        <v>1</v>
      </c>
      <c r="BN9" s="111">
        <v>3.4482758620689653</v>
      </c>
      <c r="BO9" s="108">
        <v>0</v>
      </c>
      <c r="BP9" s="111">
        <v>0</v>
      </c>
      <c r="BQ9" s="108">
        <v>0</v>
      </c>
      <c r="BR9" s="111">
        <v>0</v>
      </c>
      <c r="BS9" s="108">
        <v>28</v>
      </c>
      <c r="BT9" s="111">
        <v>96.55172413793103</v>
      </c>
      <c r="BU9" s="108">
        <v>29</v>
      </c>
      <c r="BV9" s="2"/>
      <c r="BW9" s="3"/>
      <c r="BX9" s="3"/>
      <c r="BY9" s="3"/>
      <c r="BZ9" s="3"/>
    </row>
    <row r="10" spans="1:78" ht="41.45" customHeight="1">
      <c r="A10" s="65" t="s">
        <v>258</v>
      </c>
      <c r="C10" s="66"/>
      <c r="D10" s="66" t="s">
        <v>64</v>
      </c>
      <c r="E10" s="67">
        <v>175.98847899354953</v>
      </c>
      <c r="F10" s="69"/>
      <c r="G10" s="103" t="str">
        <f>HYPERLINK("https://pbs.twimg.com/profile_images/1410957362647777288/uMWPk2Xr_normal.png")</f>
        <v>https://pbs.twimg.com/profile_images/1410957362647777288/uMWPk2Xr_normal.png</v>
      </c>
      <c r="H10" s="66"/>
      <c r="I10" s="70" t="s">
        <v>258</v>
      </c>
      <c r="J10" s="71"/>
      <c r="K10" s="71"/>
      <c r="L10" s="70" t="s">
        <v>1608</v>
      </c>
      <c r="M10" s="74">
        <v>11.701843651872421</v>
      </c>
      <c r="N10" s="75">
        <v>7723.11376953125</v>
      </c>
      <c r="O10" s="75">
        <v>8581.8466796875</v>
      </c>
      <c r="P10" s="76"/>
      <c r="Q10" s="77"/>
      <c r="R10" s="77"/>
      <c r="S10" s="89"/>
      <c r="T10" s="49">
        <v>5</v>
      </c>
      <c r="U10" s="49">
        <v>1</v>
      </c>
      <c r="V10" s="50">
        <v>34</v>
      </c>
      <c r="W10" s="50">
        <v>0.125</v>
      </c>
      <c r="X10" s="50">
        <v>0</v>
      </c>
      <c r="Y10" s="50">
        <v>2.355567</v>
      </c>
      <c r="Z10" s="50">
        <v>0.06666666666666667</v>
      </c>
      <c r="AA10" s="50">
        <v>0</v>
      </c>
      <c r="AB10" s="72">
        <v>10</v>
      </c>
      <c r="AC10" s="72"/>
      <c r="AD10" s="73"/>
      <c r="AE10" s="79" t="s">
        <v>1024</v>
      </c>
      <c r="AF10" s="88" t="s">
        <v>1186</v>
      </c>
      <c r="AG10" s="79">
        <v>2040</v>
      </c>
      <c r="AH10" s="79">
        <v>27726</v>
      </c>
      <c r="AI10" s="79">
        <v>8853</v>
      </c>
      <c r="AJ10" s="79">
        <v>10620</v>
      </c>
      <c r="AK10" s="79"/>
      <c r="AL10" s="79" t="s">
        <v>1345</v>
      </c>
      <c r="AM10" s="79"/>
      <c r="AN10" s="84" t="str">
        <f>HYPERLINK("https://t.co/biGkAEOXDs")</f>
        <v>https://t.co/biGkAEOXDs</v>
      </c>
      <c r="AO10" s="79"/>
      <c r="AP10" s="81">
        <v>42283.61599537037</v>
      </c>
      <c r="AQ10" s="84" t="str">
        <f>HYPERLINK("https://pbs.twimg.com/profile_banners/3881384261/1613485566")</f>
        <v>https://pbs.twimg.com/profile_banners/3881384261/1613485566</v>
      </c>
      <c r="AR10" s="79" t="b">
        <v>1</v>
      </c>
      <c r="AS10" s="79" t="b">
        <v>0</v>
      </c>
      <c r="AT10" s="79" t="b">
        <v>1</v>
      </c>
      <c r="AU10" s="79"/>
      <c r="AV10" s="79">
        <v>576</v>
      </c>
      <c r="AW10" s="84" t="str">
        <f>HYPERLINK("https://abs.twimg.com/images/themes/theme1/bg.png")</f>
        <v>https://abs.twimg.com/images/themes/theme1/bg.png</v>
      </c>
      <c r="AX10" s="79" t="b">
        <v>1</v>
      </c>
      <c r="AY10" s="79" t="s">
        <v>1601</v>
      </c>
      <c r="AZ10" s="84" t="str">
        <f>HYPERLINK("https://twitter.com/goodfoodinst")</f>
        <v>https://twitter.com/goodfoodinst</v>
      </c>
      <c r="BA10" s="79" t="s">
        <v>66</v>
      </c>
      <c r="BB10" s="79" t="str">
        <f>REPLACE(INDEX(GroupVertices[Group],MATCH(Vertices[[#This Row],[Vertex]],GroupVertices[Vertex],0)),1,1,"")</f>
        <v>5</v>
      </c>
      <c r="BC10" s="49" t="s">
        <v>1864</v>
      </c>
      <c r="BD10" s="49" t="s">
        <v>1864</v>
      </c>
      <c r="BE10" s="49" t="s">
        <v>524</v>
      </c>
      <c r="BF10" s="49" t="s">
        <v>524</v>
      </c>
      <c r="BG10" s="49"/>
      <c r="BH10" s="49"/>
      <c r="BI10" s="108" t="s">
        <v>2279</v>
      </c>
      <c r="BJ10" s="108" t="s">
        <v>2279</v>
      </c>
      <c r="BK10" s="108" t="s">
        <v>2357</v>
      </c>
      <c r="BL10" s="108" t="s">
        <v>2357</v>
      </c>
      <c r="BM10" s="108">
        <v>1</v>
      </c>
      <c r="BN10" s="111">
        <v>2.5</v>
      </c>
      <c r="BO10" s="108">
        <v>2</v>
      </c>
      <c r="BP10" s="111">
        <v>5</v>
      </c>
      <c r="BQ10" s="108">
        <v>0</v>
      </c>
      <c r="BR10" s="111">
        <v>0</v>
      </c>
      <c r="BS10" s="108">
        <v>37</v>
      </c>
      <c r="BT10" s="111">
        <v>92.5</v>
      </c>
      <c r="BU10" s="108">
        <v>40</v>
      </c>
      <c r="BV10" s="2"/>
      <c r="BW10" s="3"/>
      <c r="BX10" s="3"/>
      <c r="BY10" s="3"/>
      <c r="BZ10" s="3"/>
    </row>
    <row r="11" spans="1:78" ht="41.45" customHeight="1">
      <c r="A11" s="65" t="s">
        <v>238</v>
      </c>
      <c r="C11" s="66"/>
      <c r="D11" s="66" t="s">
        <v>64</v>
      </c>
      <c r="E11" s="67">
        <v>162.88191088800133</v>
      </c>
      <c r="F11" s="69"/>
      <c r="G11" s="103" t="str">
        <f>HYPERLINK("https://pbs.twimg.com/profile_images/728252706851147776/3hDM_UHX_normal.jpg")</f>
        <v>https://pbs.twimg.com/profile_images/728252706851147776/3hDM_UHX_normal.jpg</v>
      </c>
      <c r="H11" s="66"/>
      <c r="I11" s="70" t="s">
        <v>238</v>
      </c>
      <c r="J11" s="71"/>
      <c r="K11" s="71"/>
      <c r="L11" s="70" t="s">
        <v>1609</v>
      </c>
      <c r="M11" s="74">
        <v>1.6747032642095143</v>
      </c>
      <c r="N11" s="75">
        <v>7792.83203125</v>
      </c>
      <c r="O11" s="75">
        <v>9213.73828125</v>
      </c>
      <c r="P11" s="76"/>
      <c r="Q11" s="77"/>
      <c r="R11" s="77"/>
      <c r="S11" s="89"/>
      <c r="T11" s="49">
        <v>1</v>
      </c>
      <c r="U11" s="49">
        <v>1</v>
      </c>
      <c r="V11" s="50">
        <v>0</v>
      </c>
      <c r="W11" s="50">
        <v>0.076923</v>
      </c>
      <c r="X11" s="50">
        <v>0</v>
      </c>
      <c r="Y11" s="50">
        <v>0.841226</v>
      </c>
      <c r="Z11" s="50">
        <v>0.5</v>
      </c>
      <c r="AA11" s="50">
        <v>0</v>
      </c>
      <c r="AB11" s="72">
        <v>11</v>
      </c>
      <c r="AC11" s="72"/>
      <c r="AD11" s="73"/>
      <c r="AE11" s="79" t="s">
        <v>1025</v>
      </c>
      <c r="AF11" s="88" t="s">
        <v>1187</v>
      </c>
      <c r="AG11" s="79">
        <v>1393</v>
      </c>
      <c r="AH11" s="79">
        <v>1748</v>
      </c>
      <c r="AI11" s="79">
        <v>1914</v>
      </c>
      <c r="AJ11" s="79">
        <v>130</v>
      </c>
      <c r="AK11" s="79"/>
      <c r="AL11" s="79" t="s">
        <v>1346</v>
      </c>
      <c r="AM11" s="79" t="s">
        <v>1507</v>
      </c>
      <c r="AN11" s="84" t="str">
        <f>HYPERLINK("https://t.co/JOl6nXfsuR")</f>
        <v>https://t.co/JOl6nXfsuR</v>
      </c>
      <c r="AO11" s="79"/>
      <c r="AP11" s="81">
        <v>39680.0874537037</v>
      </c>
      <c r="AQ11" s="84" t="str">
        <f>HYPERLINK("https://pbs.twimg.com/profile_banners/15912586/1440393778")</f>
        <v>https://pbs.twimg.com/profile_banners/15912586/1440393778</v>
      </c>
      <c r="AR11" s="79" t="b">
        <v>0</v>
      </c>
      <c r="AS11" s="79" t="b">
        <v>0</v>
      </c>
      <c r="AT11" s="79" t="b">
        <v>0</v>
      </c>
      <c r="AU11" s="79"/>
      <c r="AV11" s="79">
        <v>78</v>
      </c>
      <c r="AW11" s="84" t="str">
        <f>HYPERLINK("https://abs.twimg.com/images/themes/theme17/bg.gif")</f>
        <v>https://abs.twimg.com/images/themes/theme17/bg.gif</v>
      </c>
      <c r="AX11" s="79" t="b">
        <v>1</v>
      </c>
      <c r="AY11" s="79" t="s">
        <v>1601</v>
      </c>
      <c r="AZ11" s="84" t="str">
        <f>HYPERLINK("https://twitter.com/meganpoinski")</f>
        <v>https://twitter.com/meganpoinski</v>
      </c>
      <c r="BA11" s="79" t="s">
        <v>66</v>
      </c>
      <c r="BB11" s="79" t="str">
        <f>REPLACE(INDEX(GroupVertices[Group],MATCH(Vertices[[#This Row],[Vertex]],GroupVertices[Vertex],0)),1,1,"")</f>
        <v>5</v>
      </c>
      <c r="BC11" s="49" t="s">
        <v>1828</v>
      </c>
      <c r="BD11" s="49" t="s">
        <v>1828</v>
      </c>
      <c r="BE11" s="49" t="s">
        <v>514</v>
      </c>
      <c r="BF11" s="49" t="s">
        <v>514</v>
      </c>
      <c r="BG11" s="49"/>
      <c r="BH11" s="49"/>
      <c r="BI11" s="108" t="s">
        <v>2280</v>
      </c>
      <c r="BJ11" s="108" t="s">
        <v>2280</v>
      </c>
      <c r="BK11" s="108" t="s">
        <v>2358</v>
      </c>
      <c r="BL11" s="108" t="s">
        <v>2358</v>
      </c>
      <c r="BM11" s="108">
        <v>0</v>
      </c>
      <c r="BN11" s="111">
        <v>0</v>
      </c>
      <c r="BO11" s="108">
        <v>0</v>
      </c>
      <c r="BP11" s="111">
        <v>0</v>
      </c>
      <c r="BQ11" s="108">
        <v>0</v>
      </c>
      <c r="BR11" s="111">
        <v>0</v>
      </c>
      <c r="BS11" s="108">
        <v>24</v>
      </c>
      <c r="BT11" s="111">
        <v>100</v>
      </c>
      <c r="BU11" s="108">
        <v>24</v>
      </c>
      <c r="BV11" s="2"/>
      <c r="BW11" s="3"/>
      <c r="BX11" s="3"/>
      <c r="BY11" s="3"/>
      <c r="BZ11" s="3"/>
    </row>
    <row r="12" spans="1:78" ht="41.45" customHeight="1">
      <c r="A12" s="65" t="s">
        <v>239</v>
      </c>
      <c r="C12" s="66"/>
      <c r="D12" s="66" t="s">
        <v>64</v>
      </c>
      <c r="E12" s="67">
        <v>162.05448877340055</v>
      </c>
      <c r="F12" s="69"/>
      <c r="G12" s="103" t="str">
        <f>HYPERLINK("https://pbs.twimg.com/profile_images/1427725871834566662/N7pMCmBv_normal.jpg")</f>
        <v>https://pbs.twimg.com/profile_images/1427725871834566662/N7pMCmBv_normal.jpg</v>
      </c>
      <c r="H12" s="66"/>
      <c r="I12" s="70" t="s">
        <v>239</v>
      </c>
      <c r="J12" s="71"/>
      <c r="K12" s="71"/>
      <c r="L12" s="70" t="s">
        <v>1610</v>
      </c>
      <c r="M12" s="74">
        <v>1.041686471701732</v>
      </c>
      <c r="N12" s="75">
        <v>7426.37158203125</v>
      </c>
      <c r="O12" s="75">
        <v>9178.7021484375</v>
      </c>
      <c r="P12" s="76"/>
      <c r="Q12" s="77"/>
      <c r="R12" s="77"/>
      <c r="S12" s="89"/>
      <c r="T12" s="49">
        <v>0</v>
      </c>
      <c r="U12" s="49">
        <v>2</v>
      </c>
      <c r="V12" s="50">
        <v>0</v>
      </c>
      <c r="W12" s="50">
        <v>0.076923</v>
      </c>
      <c r="X12" s="50">
        <v>0</v>
      </c>
      <c r="Y12" s="50">
        <v>0.841226</v>
      </c>
      <c r="Z12" s="50">
        <v>0.5</v>
      </c>
      <c r="AA12" s="50">
        <v>0</v>
      </c>
      <c r="AB12" s="72">
        <v>12</v>
      </c>
      <c r="AC12" s="72"/>
      <c r="AD12" s="73"/>
      <c r="AE12" s="79" t="s">
        <v>1026</v>
      </c>
      <c r="AF12" s="88" t="s">
        <v>1188</v>
      </c>
      <c r="AG12" s="79">
        <v>628</v>
      </c>
      <c r="AH12" s="79">
        <v>108</v>
      </c>
      <c r="AI12" s="79">
        <v>1809</v>
      </c>
      <c r="AJ12" s="79">
        <v>4743</v>
      </c>
      <c r="AK12" s="79"/>
      <c r="AL12" s="79" t="s">
        <v>1347</v>
      </c>
      <c r="AM12" s="79"/>
      <c r="AN12" s="84" t="str">
        <f>HYPERLINK("https://t.co/IjFUO6sEXD")</f>
        <v>https://t.co/IjFUO6sEXD</v>
      </c>
      <c r="AO12" s="79"/>
      <c r="AP12" s="81">
        <v>44327.839479166665</v>
      </c>
      <c r="AQ12" s="84" t="str">
        <f>HYPERLINK("https://pbs.twimg.com/profile_banners/1392210077004693505/1629231455")</f>
        <v>https://pbs.twimg.com/profile_banners/1392210077004693505/1629231455</v>
      </c>
      <c r="AR12" s="79" t="b">
        <v>1</v>
      </c>
      <c r="AS12" s="79" t="b">
        <v>0</v>
      </c>
      <c r="AT12" s="79" t="b">
        <v>0</v>
      </c>
      <c r="AU12" s="79"/>
      <c r="AV12" s="79">
        <v>0</v>
      </c>
      <c r="AW12" s="79"/>
      <c r="AX12" s="79" t="b">
        <v>0</v>
      </c>
      <c r="AY12" s="79" t="s">
        <v>1601</v>
      </c>
      <c r="AZ12" s="84" t="str">
        <f>HYPERLINK("https://twitter.com/welllibrarian")</f>
        <v>https://twitter.com/welllibrarian</v>
      </c>
      <c r="BA12" s="79" t="s">
        <v>66</v>
      </c>
      <c r="BB12" s="79" t="str">
        <f>REPLACE(INDEX(GroupVertices[Group],MATCH(Vertices[[#This Row],[Vertex]],GroupVertices[Vertex],0)),1,1,"")</f>
        <v>5</v>
      </c>
      <c r="BC12" s="49" t="s">
        <v>1828</v>
      </c>
      <c r="BD12" s="49" t="s">
        <v>1828</v>
      </c>
      <c r="BE12" s="49" t="s">
        <v>514</v>
      </c>
      <c r="BF12" s="49" t="s">
        <v>514</v>
      </c>
      <c r="BG12" s="49"/>
      <c r="BH12" s="49"/>
      <c r="BI12" s="108" t="s">
        <v>2280</v>
      </c>
      <c r="BJ12" s="108" t="s">
        <v>2280</v>
      </c>
      <c r="BK12" s="108" t="s">
        <v>2358</v>
      </c>
      <c r="BL12" s="108" t="s">
        <v>2358</v>
      </c>
      <c r="BM12" s="108">
        <v>0</v>
      </c>
      <c r="BN12" s="111">
        <v>0</v>
      </c>
      <c r="BO12" s="108">
        <v>0</v>
      </c>
      <c r="BP12" s="111">
        <v>0</v>
      </c>
      <c r="BQ12" s="108">
        <v>0</v>
      </c>
      <c r="BR12" s="111">
        <v>0</v>
      </c>
      <c r="BS12" s="108">
        <v>24</v>
      </c>
      <c r="BT12" s="111">
        <v>100</v>
      </c>
      <c r="BU12" s="108">
        <v>24</v>
      </c>
      <c r="BV12" s="2"/>
      <c r="BW12" s="3"/>
      <c r="BX12" s="3"/>
      <c r="BY12" s="3"/>
      <c r="BZ12" s="3"/>
    </row>
    <row r="13" spans="1:78" ht="41.45" customHeight="1">
      <c r="A13" s="65" t="s">
        <v>240</v>
      </c>
      <c r="C13" s="66"/>
      <c r="D13" s="66" t="s">
        <v>64</v>
      </c>
      <c r="E13" s="67">
        <v>164.81474876668156</v>
      </c>
      <c r="F13" s="69"/>
      <c r="G13" s="103" t="str">
        <f>HYPERLINK("https://pbs.twimg.com/profile_images/555855373924442112/9snXes6N_normal.jpeg")</f>
        <v>https://pbs.twimg.com/profile_images/555855373924442112/9snXes6N_normal.jpeg</v>
      </c>
      <c r="H13" s="66"/>
      <c r="I13" s="70" t="s">
        <v>240</v>
      </c>
      <c r="J13" s="71"/>
      <c r="K13" s="71"/>
      <c r="L13" s="70" t="s">
        <v>1611</v>
      </c>
      <c r="M13" s="74">
        <v>3.15341505207373</v>
      </c>
      <c r="N13" s="75">
        <v>1133.944580078125</v>
      </c>
      <c r="O13" s="75">
        <v>1145.1734619140625</v>
      </c>
      <c r="P13" s="76"/>
      <c r="Q13" s="77"/>
      <c r="R13" s="77"/>
      <c r="S13" s="89"/>
      <c r="T13" s="49">
        <v>1</v>
      </c>
      <c r="U13" s="49">
        <v>1</v>
      </c>
      <c r="V13" s="50">
        <v>0</v>
      </c>
      <c r="W13" s="50">
        <v>0</v>
      </c>
      <c r="X13" s="50">
        <v>0</v>
      </c>
      <c r="Y13" s="50">
        <v>0.999997</v>
      </c>
      <c r="Z13" s="50">
        <v>0</v>
      </c>
      <c r="AA13" s="50">
        <v>0</v>
      </c>
      <c r="AB13" s="72">
        <v>13</v>
      </c>
      <c r="AC13" s="72"/>
      <c r="AD13" s="73"/>
      <c r="AE13" s="79" t="s">
        <v>1027</v>
      </c>
      <c r="AF13" s="88" t="s">
        <v>1189</v>
      </c>
      <c r="AG13" s="79">
        <v>2085</v>
      </c>
      <c r="AH13" s="79">
        <v>5579</v>
      </c>
      <c r="AI13" s="79">
        <v>24784</v>
      </c>
      <c r="AJ13" s="79">
        <v>368</v>
      </c>
      <c r="AK13" s="79"/>
      <c r="AL13" s="79" t="s">
        <v>1348</v>
      </c>
      <c r="AM13" s="79" t="s">
        <v>1508</v>
      </c>
      <c r="AN13" s="84" t="str">
        <f>HYPERLINK("https://t.co/QusL9KWU2z")</f>
        <v>https://t.co/QusL9KWU2z</v>
      </c>
      <c r="AO13" s="79"/>
      <c r="AP13" s="81">
        <v>39924.81414351852</v>
      </c>
      <c r="AQ13" s="84" t="str">
        <f>HYPERLINK("https://pbs.twimg.com/profile_banners/34011197/1490386848")</f>
        <v>https://pbs.twimg.com/profile_banners/34011197/1490386848</v>
      </c>
      <c r="AR13" s="79" t="b">
        <v>0</v>
      </c>
      <c r="AS13" s="79" t="b">
        <v>0</v>
      </c>
      <c r="AT13" s="79" t="b">
        <v>1</v>
      </c>
      <c r="AU13" s="79"/>
      <c r="AV13" s="79">
        <v>163</v>
      </c>
      <c r="AW13" s="84" t="str">
        <f>HYPERLINK("https://abs.twimg.com/images/themes/theme1/bg.png")</f>
        <v>https://abs.twimg.com/images/themes/theme1/bg.png</v>
      </c>
      <c r="AX13" s="79" t="b">
        <v>0</v>
      </c>
      <c r="AY13" s="79" t="s">
        <v>1601</v>
      </c>
      <c r="AZ13" s="84" t="str">
        <f>HYPERLINK("https://twitter.com/meatpoultry")</f>
        <v>https://twitter.com/meatpoultry</v>
      </c>
      <c r="BA13" s="79" t="s">
        <v>66</v>
      </c>
      <c r="BB13" s="79" t="str">
        <f>REPLACE(INDEX(GroupVertices[Group],MATCH(Vertices[[#This Row],[Vertex]],GroupVertices[Vertex],0)),1,1,"")</f>
        <v>2</v>
      </c>
      <c r="BC13" s="49" t="s">
        <v>1841</v>
      </c>
      <c r="BD13" s="49" t="s">
        <v>1841</v>
      </c>
      <c r="BE13" s="49" t="s">
        <v>515</v>
      </c>
      <c r="BF13" s="49" t="s">
        <v>515</v>
      </c>
      <c r="BG13" s="49"/>
      <c r="BH13" s="49"/>
      <c r="BI13" s="108" t="s">
        <v>2281</v>
      </c>
      <c r="BJ13" s="108" t="s">
        <v>2281</v>
      </c>
      <c r="BK13" s="108" t="s">
        <v>2359</v>
      </c>
      <c r="BL13" s="108" t="s">
        <v>2359</v>
      </c>
      <c r="BM13" s="108">
        <v>0</v>
      </c>
      <c r="BN13" s="111">
        <v>0</v>
      </c>
      <c r="BO13" s="108">
        <v>1</v>
      </c>
      <c r="BP13" s="111">
        <v>6.666666666666667</v>
      </c>
      <c r="BQ13" s="108">
        <v>0</v>
      </c>
      <c r="BR13" s="111">
        <v>0</v>
      </c>
      <c r="BS13" s="108">
        <v>14</v>
      </c>
      <c r="BT13" s="111">
        <v>93.33333333333333</v>
      </c>
      <c r="BU13" s="108">
        <v>15</v>
      </c>
      <c r="BV13" s="2"/>
      <c r="BW13" s="3"/>
      <c r="BX13" s="3"/>
      <c r="BY13" s="3"/>
      <c r="BZ13" s="3"/>
    </row>
    <row r="14" spans="1:78" ht="41.45" customHeight="1">
      <c r="A14" s="65" t="s">
        <v>241</v>
      </c>
      <c r="C14" s="66"/>
      <c r="D14" s="66" t="s">
        <v>64</v>
      </c>
      <c r="E14" s="67">
        <v>162.104941341364</v>
      </c>
      <c r="F14" s="69"/>
      <c r="G14" s="103" t="str">
        <f>HYPERLINK("https://pbs.twimg.com/profile_images/1363238813808533505/lbI9GNLD_normal.jpg")</f>
        <v>https://pbs.twimg.com/profile_images/1363238813808533505/lbI9GNLD_normal.jpg</v>
      </c>
      <c r="H14" s="66"/>
      <c r="I14" s="70" t="s">
        <v>241</v>
      </c>
      <c r="J14" s="71"/>
      <c r="K14" s="71"/>
      <c r="L14" s="70" t="s">
        <v>1612</v>
      </c>
      <c r="M14" s="74">
        <v>1.0802850566107431</v>
      </c>
      <c r="N14" s="75">
        <v>667.8076171875</v>
      </c>
      <c r="O14" s="75">
        <v>2584.820068359375</v>
      </c>
      <c r="P14" s="76"/>
      <c r="Q14" s="77"/>
      <c r="R14" s="77"/>
      <c r="S14" s="89"/>
      <c r="T14" s="49">
        <v>1</v>
      </c>
      <c r="U14" s="49">
        <v>1</v>
      </c>
      <c r="V14" s="50">
        <v>0</v>
      </c>
      <c r="W14" s="50">
        <v>0</v>
      </c>
      <c r="X14" s="50">
        <v>0</v>
      </c>
      <c r="Y14" s="50">
        <v>0.999997</v>
      </c>
      <c r="Z14" s="50">
        <v>0</v>
      </c>
      <c r="AA14" s="50">
        <v>0</v>
      </c>
      <c r="AB14" s="72">
        <v>14</v>
      </c>
      <c r="AC14" s="72"/>
      <c r="AD14" s="73"/>
      <c r="AE14" s="79" t="s">
        <v>1028</v>
      </c>
      <c r="AF14" s="88" t="s">
        <v>1190</v>
      </c>
      <c r="AG14" s="79">
        <v>963</v>
      </c>
      <c r="AH14" s="79">
        <v>208</v>
      </c>
      <c r="AI14" s="79">
        <v>10747</v>
      </c>
      <c r="AJ14" s="79">
        <v>5768</v>
      </c>
      <c r="AK14" s="79"/>
      <c r="AL14" s="79" t="s">
        <v>1349</v>
      </c>
      <c r="AM14" s="79" t="s">
        <v>1509</v>
      </c>
      <c r="AN14" s="79"/>
      <c r="AO14" s="79"/>
      <c r="AP14" s="81">
        <v>40173.427766203706</v>
      </c>
      <c r="AQ14" s="84" t="str">
        <f>HYPERLINK("https://pbs.twimg.com/profile_banners/99472571/1392354392")</f>
        <v>https://pbs.twimg.com/profile_banners/99472571/1392354392</v>
      </c>
      <c r="AR14" s="79" t="b">
        <v>0</v>
      </c>
      <c r="AS14" s="79" t="b">
        <v>0</v>
      </c>
      <c r="AT14" s="79" t="b">
        <v>1</v>
      </c>
      <c r="AU14" s="79"/>
      <c r="AV14" s="79">
        <v>14</v>
      </c>
      <c r="AW14" s="84" t="str">
        <f>HYPERLINK("https://abs.twimg.com/images/themes/theme1/bg.png")</f>
        <v>https://abs.twimg.com/images/themes/theme1/bg.png</v>
      </c>
      <c r="AX14" s="79" t="b">
        <v>0</v>
      </c>
      <c r="AY14" s="79" t="s">
        <v>1601</v>
      </c>
      <c r="AZ14" s="84" t="str">
        <f>HYPERLINK("https://twitter.com/b1allpurpose")</f>
        <v>https://twitter.com/b1allpurpose</v>
      </c>
      <c r="BA14" s="79" t="s">
        <v>66</v>
      </c>
      <c r="BB14" s="79" t="str">
        <f>REPLACE(INDEX(GroupVertices[Group],MATCH(Vertices[[#This Row],[Vertex]],GroupVertices[Vertex],0)),1,1,"")</f>
        <v>2</v>
      </c>
      <c r="BC14" s="49" t="s">
        <v>1842</v>
      </c>
      <c r="BD14" s="49" t="s">
        <v>1842</v>
      </c>
      <c r="BE14" s="49" t="s">
        <v>516</v>
      </c>
      <c r="BF14" s="49" t="s">
        <v>516</v>
      </c>
      <c r="BG14" s="49"/>
      <c r="BH14" s="49"/>
      <c r="BI14" s="108" t="s">
        <v>2282</v>
      </c>
      <c r="BJ14" s="108" t="s">
        <v>2282</v>
      </c>
      <c r="BK14" s="108" t="s">
        <v>2360</v>
      </c>
      <c r="BL14" s="108" t="s">
        <v>2360</v>
      </c>
      <c r="BM14" s="108">
        <v>1</v>
      </c>
      <c r="BN14" s="111">
        <v>3.7037037037037037</v>
      </c>
      <c r="BO14" s="108">
        <v>1</v>
      </c>
      <c r="BP14" s="111">
        <v>3.7037037037037037</v>
      </c>
      <c r="BQ14" s="108">
        <v>0</v>
      </c>
      <c r="BR14" s="111">
        <v>0</v>
      </c>
      <c r="BS14" s="108">
        <v>25</v>
      </c>
      <c r="BT14" s="111">
        <v>92.5925925925926</v>
      </c>
      <c r="BU14" s="108">
        <v>27</v>
      </c>
      <c r="BV14" s="2"/>
      <c r="BW14" s="3"/>
      <c r="BX14" s="3"/>
      <c r="BY14" s="3"/>
      <c r="BZ14" s="3"/>
    </row>
    <row r="15" spans="1:78" ht="41.45" customHeight="1">
      <c r="A15" s="65" t="s">
        <v>242</v>
      </c>
      <c r="C15" s="66"/>
      <c r="D15" s="66" t="s">
        <v>64</v>
      </c>
      <c r="E15" s="67">
        <v>165.61997175137842</v>
      </c>
      <c r="F15" s="69"/>
      <c r="G15" s="103" t="str">
        <f>HYPERLINK("https://pbs.twimg.com/profile_images/1099032399181217799/vPCULVTS_normal.png")</f>
        <v>https://pbs.twimg.com/profile_images/1099032399181217799/vPCULVTS_normal.png</v>
      </c>
      <c r="H15" s="66"/>
      <c r="I15" s="70" t="s">
        <v>242</v>
      </c>
      <c r="J15" s="71"/>
      <c r="K15" s="71"/>
      <c r="L15" s="70" t="s">
        <v>1613</v>
      </c>
      <c r="M15" s="74">
        <v>3.7694484672215474</v>
      </c>
      <c r="N15" s="75">
        <v>2066.218505859375</v>
      </c>
      <c r="O15" s="75">
        <v>1145.1734619140625</v>
      </c>
      <c r="P15" s="76"/>
      <c r="Q15" s="77"/>
      <c r="R15" s="77"/>
      <c r="S15" s="89"/>
      <c r="T15" s="49">
        <v>1</v>
      </c>
      <c r="U15" s="49">
        <v>1</v>
      </c>
      <c r="V15" s="50">
        <v>0</v>
      </c>
      <c r="W15" s="50">
        <v>0</v>
      </c>
      <c r="X15" s="50">
        <v>0</v>
      </c>
      <c r="Y15" s="50">
        <v>0.999997</v>
      </c>
      <c r="Z15" s="50">
        <v>0</v>
      </c>
      <c r="AA15" s="50">
        <v>0</v>
      </c>
      <c r="AB15" s="72">
        <v>15</v>
      </c>
      <c r="AC15" s="72"/>
      <c r="AD15" s="73"/>
      <c r="AE15" s="79" t="s">
        <v>1029</v>
      </c>
      <c r="AF15" s="88" t="s">
        <v>1191</v>
      </c>
      <c r="AG15" s="79">
        <v>1064</v>
      </c>
      <c r="AH15" s="79">
        <v>7175</v>
      </c>
      <c r="AI15" s="79">
        <v>16302</v>
      </c>
      <c r="AJ15" s="79">
        <v>33758</v>
      </c>
      <c r="AK15" s="79"/>
      <c r="AL15" s="79" t="s">
        <v>1350</v>
      </c>
      <c r="AM15" s="79" t="s">
        <v>1510</v>
      </c>
      <c r="AN15" s="79"/>
      <c r="AO15" s="79"/>
      <c r="AP15" s="81">
        <v>39486.405324074076</v>
      </c>
      <c r="AQ15" s="84" t="str">
        <f>HYPERLINK("https://pbs.twimg.com/profile_banners/13241152/1584559034")</f>
        <v>https://pbs.twimg.com/profile_banners/13241152/1584559034</v>
      </c>
      <c r="AR15" s="79" t="b">
        <v>0</v>
      </c>
      <c r="AS15" s="79" t="b">
        <v>0</v>
      </c>
      <c r="AT15" s="79" t="b">
        <v>1</v>
      </c>
      <c r="AU15" s="79"/>
      <c r="AV15" s="79">
        <v>516</v>
      </c>
      <c r="AW15" s="84" t="str">
        <f>HYPERLINK("https://abs.twimg.com/images/themes/theme14/bg.gif")</f>
        <v>https://abs.twimg.com/images/themes/theme14/bg.gif</v>
      </c>
      <c r="AX15" s="79" t="b">
        <v>1</v>
      </c>
      <c r="AY15" s="79" t="s">
        <v>1601</v>
      </c>
      <c r="AZ15" s="84" t="str">
        <f>HYPERLINK("https://twitter.com/joshuamarch")</f>
        <v>https://twitter.com/joshuamarch</v>
      </c>
      <c r="BA15" s="79" t="s">
        <v>66</v>
      </c>
      <c r="BB15" s="79" t="str">
        <f>REPLACE(INDEX(GroupVertices[Group],MATCH(Vertices[[#This Row],[Vertex]],GroupVertices[Vertex],0)),1,1,"")</f>
        <v>2</v>
      </c>
      <c r="BC15" s="49" t="s">
        <v>1828</v>
      </c>
      <c r="BD15" s="49" t="s">
        <v>1828</v>
      </c>
      <c r="BE15" s="49" t="s">
        <v>514</v>
      </c>
      <c r="BF15" s="49" t="s">
        <v>514</v>
      </c>
      <c r="BG15" s="49"/>
      <c r="BH15" s="49"/>
      <c r="BI15" s="108" t="s">
        <v>2283</v>
      </c>
      <c r="BJ15" s="108" t="s">
        <v>2283</v>
      </c>
      <c r="BK15" s="108" t="s">
        <v>2361</v>
      </c>
      <c r="BL15" s="108" t="s">
        <v>2361</v>
      </c>
      <c r="BM15" s="108">
        <v>0</v>
      </c>
      <c r="BN15" s="111">
        <v>0</v>
      </c>
      <c r="BO15" s="108">
        <v>2</v>
      </c>
      <c r="BP15" s="111">
        <v>5.714285714285714</v>
      </c>
      <c r="BQ15" s="108">
        <v>0</v>
      </c>
      <c r="BR15" s="111">
        <v>0</v>
      </c>
      <c r="BS15" s="108">
        <v>33</v>
      </c>
      <c r="BT15" s="111">
        <v>94.28571428571429</v>
      </c>
      <c r="BU15" s="108">
        <v>35</v>
      </c>
      <c r="BV15" s="2"/>
      <c r="BW15" s="3"/>
      <c r="BX15" s="3"/>
      <c r="BY15" s="3"/>
      <c r="BZ15" s="3"/>
    </row>
    <row r="16" spans="1:78" ht="41.45" customHeight="1">
      <c r="A16" s="65" t="s">
        <v>243</v>
      </c>
      <c r="C16" s="66"/>
      <c r="D16" s="66" t="s">
        <v>64</v>
      </c>
      <c r="E16" s="67">
        <v>162.0449027854875</v>
      </c>
      <c r="F16" s="69"/>
      <c r="G16" s="103" t="str">
        <f>HYPERLINK("https://pbs.twimg.com/profile_images/1402397441979260928/d_CuOnwk_normal.jpg")</f>
        <v>https://pbs.twimg.com/profile_images/1402397441979260928/d_CuOnwk_normal.jpg</v>
      </c>
      <c r="H16" s="66"/>
      <c r="I16" s="70" t="s">
        <v>243</v>
      </c>
      <c r="J16" s="71"/>
      <c r="K16" s="71"/>
      <c r="L16" s="70" t="s">
        <v>1614</v>
      </c>
      <c r="M16" s="74">
        <v>1.0343527405690198</v>
      </c>
      <c r="N16" s="75">
        <v>7767.33935546875</v>
      </c>
      <c r="O16" s="75">
        <v>2421.223876953125</v>
      </c>
      <c r="P16" s="76"/>
      <c r="Q16" s="77"/>
      <c r="R16" s="77"/>
      <c r="S16" s="89"/>
      <c r="T16" s="49">
        <v>0</v>
      </c>
      <c r="U16" s="49">
        <v>1</v>
      </c>
      <c r="V16" s="50">
        <v>0</v>
      </c>
      <c r="W16" s="50">
        <v>1</v>
      </c>
      <c r="X16" s="50">
        <v>0</v>
      </c>
      <c r="Y16" s="50">
        <v>0.999997</v>
      </c>
      <c r="Z16" s="50">
        <v>0</v>
      </c>
      <c r="AA16" s="50">
        <v>0</v>
      </c>
      <c r="AB16" s="72">
        <v>16</v>
      </c>
      <c r="AC16" s="72"/>
      <c r="AD16" s="73"/>
      <c r="AE16" s="79" t="s">
        <v>243</v>
      </c>
      <c r="AF16" s="88" t="s">
        <v>1192</v>
      </c>
      <c r="AG16" s="79">
        <v>822</v>
      </c>
      <c r="AH16" s="79">
        <v>89</v>
      </c>
      <c r="AI16" s="79">
        <v>431</v>
      </c>
      <c r="AJ16" s="79">
        <v>2956</v>
      </c>
      <c r="AK16" s="79"/>
      <c r="AL16" s="79" t="s">
        <v>1351</v>
      </c>
      <c r="AM16" s="79" t="s">
        <v>1511</v>
      </c>
      <c r="AN16" s="79"/>
      <c r="AO16" s="79"/>
      <c r="AP16" s="81">
        <v>43209.67229166667</v>
      </c>
      <c r="AQ16" s="79"/>
      <c r="AR16" s="79" t="b">
        <v>1</v>
      </c>
      <c r="AS16" s="79" t="b">
        <v>0</v>
      </c>
      <c r="AT16" s="79" t="b">
        <v>0</v>
      </c>
      <c r="AU16" s="79"/>
      <c r="AV16" s="79">
        <v>1</v>
      </c>
      <c r="AW16" s="79"/>
      <c r="AX16" s="79" t="b">
        <v>0</v>
      </c>
      <c r="AY16" s="79" t="s">
        <v>1601</v>
      </c>
      <c r="AZ16" s="84" t="str">
        <f>HYPERLINK("https://twitter.com/chill_purr")</f>
        <v>https://twitter.com/chill_purr</v>
      </c>
      <c r="BA16" s="79" t="s">
        <v>66</v>
      </c>
      <c r="BB16" s="79" t="str">
        <f>REPLACE(INDEX(GroupVertices[Group],MATCH(Vertices[[#This Row],[Vertex]],GroupVertices[Vertex],0)),1,1,"")</f>
        <v>27</v>
      </c>
      <c r="BC16" s="49" t="s">
        <v>1896</v>
      </c>
      <c r="BD16" s="49" t="s">
        <v>1896</v>
      </c>
      <c r="BE16" s="49" t="s">
        <v>517</v>
      </c>
      <c r="BF16" s="49" t="s">
        <v>517</v>
      </c>
      <c r="BG16" s="49"/>
      <c r="BH16" s="49"/>
      <c r="BI16" s="108" t="s">
        <v>2284</v>
      </c>
      <c r="BJ16" s="108" t="s">
        <v>2284</v>
      </c>
      <c r="BK16" s="108" t="s">
        <v>2362</v>
      </c>
      <c r="BL16" s="108" t="s">
        <v>2362</v>
      </c>
      <c r="BM16" s="108">
        <v>0</v>
      </c>
      <c r="BN16" s="111">
        <v>0</v>
      </c>
      <c r="BO16" s="108">
        <v>0</v>
      </c>
      <c r="BP16" s="111">
        <v>0</v>
      </c>
      <c r="BQ16" s="108">
        <v>0</v>
      </c>
      <c r="BR16" s="111">
        <v>0</v>
      </c>
      <c r="BS16" s="108">
        <v>36</v>
      </c>
      <c r="BT16" s="111">
        <v>100</v>
      </c>
      <c r="BU16" s="108">
        <v>36</v>
      </c>
      <c r="BV16" s="2"/>
      <c r="BW16" s="3"/>
      <c r="BX16" s="3"/>
      <c r="BY16" s="3"/>
      <c r="BZ16" s="3"/>
    </row>
    <row r="17" spans="1:78" ht="41.45" customHeight="1">
      <c r="A17" s="65" t="s">
        <v>369</v>
      </c>
      <c r="C17" s="66"/>
      <c r="D17" s="66" t="s">
        <v>64</v>
      </c>
      <c r="E17" s="67">
        <v>163.62961794521982</v>
      </c>
      <c r="F17" s="69"/>
      <c r="G17" s="103" t="str">
        <f>HYPERLINK("https://pbs.twimg.com/profile_images/1069637128370483201/BuXpxCEV_normal.jpg")</f>
        <v>https://pbs.twimg.com/profile_images/1069637128370483201/BuXpxCEV_normal.jpg</v>
      </c>
      <c r="H17" s="66"/>
      <c r="I17" s="70" t="s">
        <v>369</v>
      </c>
      <c r="J17" s="71"/>
      <c r="K17" s="71"/>
      <c r="L17" s="70" t="s">
        <v>1615</v>
      </c>
      <c r="M17" s="74">
        <v>2.246734292561059</v>
      </c>
      <c r="N17" s="75">
        <v>7767.33935546875</v>
      </c>
      <c r="O17" s="75">
        <v>2185.645263671875</v>
      </c>
      <c r="P17" s="76"/>
      <c r="Q17" s="77"/>
      <c r="R17" s="77"/>
      <c r="S17" s="89"/>
      <c r="T17" s="49">
        <v>1</v>
      </c>
      <c r="U17" s="49">
        <v>0</v>
      </c>
      <c r="V17" s="50">
        <v>0</v>
      </c>
      <c r="W17" s="50">
        <v>1</v>
      </c>
      <c r="X17" s="50">
        <v>0</v>
      </c>
      <c r="Y17" s="50">
        <v>0.999997</v>
      </c>
      <c r="Z17" s="50">
        <v>0</v>
      </c>
      <c r="AA17" s="50">
        <v>0</v>
      </c>
      <c r="AB17" s="72">
        <v>17</v>
      </c>
      <c r="AC17" s="72"/>
      <c r="AD17" s="73"/>
      <c r="AE17" s="79" t="s">
        <v>1030</v>
      </c>
      <c r="AF17" s="88" t="s">
        <v>954</v>
      </c>
      <c r="AG17" s="79">
        <v>3584</v>
      </c>
      <c r="AH17" s="79">
        <v>3230</v>
      </c>
      <c r="AI17" s="79">
        <v>35026</v>
      </c>
      <c r="AJ17" s="79">
        <v>58951</v>
      </c>
      <c r="AK17" s="79"/>
      <c r="AL17" s="79" t="s">
        <v>1352</v>
      </c>
      <c r="AM17" s="79" t="s">
        <v>1512</v>
      </c>
      <c r="AN17" s="84" t="str">
        <f>HYPERLINK("https://t.co/RmabawN93M")</f>
        <v>https://t.co/RmabawN93M</v>
      </c>
      <c r="AO17" s="79"/>
      <c r="AP17" s="81">
        <v>39882.61561342593</v>
      </c>
      <c r="AQ17" s="84" t="str">
        <f>HYPERLINK("https://pbs.twimg.com/profile_banners/23600122/1628075486")</f>
        <v>https://pbs.twimg.com/profile_banners/23600122/1628075486</v>
      </c>
      <c r="AR17" s="79" t="b">
        <v>0</v>
      </c>
      <c r="AS17" s="79" t="b">
        <v>0</v>
      </c>
      <c r="AT17" s="79" t="b">
        <v>0</v>
      </c>
      <c r="AU17" s="79"/>
      <c r="AV17" s="79">
        <v>121</v>
      </c>
      <c r="AW17" s="84" t="str">
        <f>HYPERLINK("https://abs.twimg.com/images/themes/theme7/bg.gif")</f>
        <v>https://abs.twimg.com/images/themes/theme7/bg.gif</v>
      </c>
      <c r="AX17" s="79" t="b">
        <v>0</v>
      </c>
      <c r="AY17" s="79" t="s">
        <v>1601</v>
      </c>
      <c r="AZ17" s="84" t="str">
        <f>HYPERLINK("https://twitter.com/barbkiser")</f>
        <v>https://twitter.com/barbkiser</v>
      </c>
      <c r="BA17" s="79" t="s">
        <v>65</v>
      </c>
      <c r="BB17" s="79" t="str">
        <f>REPLACE(INDEX(GroupVertices[Group],MATCH(Vertices[[#This Row],[Vertex]],GroupVertices[Vertex],0)),1,1,"")</f>
        <v>27</v>
      </c>
      <c r="BC17" s="49"/>
      <c r="BD17" s="49"/>
      <c r="BE17" s="49"/>
      <c r="BF17" s="49"/>
      <c r="BG17" s="49"/>
      <c r="BH17" s="49"/>
      <c r="BI17" s="49"/>
      <c r="BJ17" s="49"/>
      <c r="BK17" s="49"/>
      <c r="BL17" s="49"/>
      <c r="BM17" s="49"/>
      <c r="BN17" s="50"/>
      <c r="BO17" s="49"/>
      <c r="BP17" s="50"/>
      <c r="BQ17" s="49"/>
      <c r="BR17" s="50"/>
      <c r="BS17" s="49"/>
      <c r="BT17" s="50"/>
      <c r="BU17" s="49"/>
      <c r="BV17" s="2"/>
      <c r="BW17" s="3"/>
      <c r="BX17" s="3"/>
      <c r="BY17" s="3"/>
      <c r="BZ17" s="3"/>
    </row>
    <row r="18" spans="1:78" ht="41.45" customHeight="1">
      <c r="A18" s="65" t="s">
        <v>244</v>
      </c>
      <c r="C18" s="66"/>
      <c r="D18" s="66" t="s">
        <v>64</v>
      </c>
      <c r="E18" s="67">
        <v>162.14631244709403</v>
      </c>
      <c r="F18" s="69"/>
      <c r="G18" s="103" t="str">
        <f>HYPERLINK("https://pbs.twimg.com/profile_images/1234525508643303426/1HEc46Lj_normal.jpg")</f>
        <v>https://pbs.twimg.com/profile_images/1234525508643303426/1HEc46Lj_normal.jpg</v>
      </c>
      <c r="H18" s="66"/>
      <c r="I18" s="70" t="s">
        <v>244</v>
      </c>
      <c r="J18" s="71"/>
      <c r="K18" s="71"/>
      <c r="L18" s="70" t="s">
        <v>1616</v>
      </c>
      <c r="M18" s="74">
        <v>1.1119358962361323</v>
      </c>
      <c r="N18" s="75">
        <v>7767.33935546875</v>
      </c>
      <c r="O18" s="75">
        <v>1158.2611083984375</v>
      </c>
      <c r="P18" s="76"/>
      <c r="Q18" s="77"/>
      <c r="R18" s="77"/>
      <c r="S18" s="89"/>
      <c r="T18" s="49">
        <v>0</v>
      </c>
      <c r="U18" s="49">
        <v>1</v>
      </c>
      <c r="V18" s="50">
        <v>0</v>
      </c>
      <c r="W18" s="50">
        <v>1</v>
      </c>
      <c r="X18" s="50">
        <v>0</v>
      </c>
      <c r="Y18" s="50">
        <v>0.999997</v>
      </c>
      <c r="Z18" s="50">
        <v>0</v>
      </c>
      <c r="AA18" s="50">
        <v>0</v>
      </c>
      <c r="AB18" s="72">
        <v>18</v>
      </c>
      <c r="AC18" s="72"/>
      <c r="AD18" s="73"/>
      <c r="AE18" s="79" t="s">
        <v>1031</v>
      </c>
      <c r="AF18" s="88" t="s">
        <v>1193</v>
      </c>
      <c r="AG18" s="79">
        <v>307</v>
      </c>
      <c r="AH18" s="79">
        <v>290</v>
      </c>
      <c r="AI18" s="79">
        <v>2536</v>
      </c>
      <c r="AJ18" s="79">
        <v>372</v>
      </c>
      <c r="AK18" s="79"/>
      <c r="AL18" s="79" t="s">
        <v>1353</v>
      </c>
      <c r="AM18" s="79" t="s">
        <v>1513</v>
      </c>
      <c r="AN18" s="84" t="str">
        <f>HYPERLINK("https://t.co/fsm2d8SSmf")</f>
        <v>https://t.co/fsm2d8SSmf</v>
      </c>
      <c r="AO18" s="79"/>
      <c r="AP18" s="81">
        <v>43892.70253472222</v>
      </c>
      <c r="AQ18" s="84" t="str">
        <f>HYPERLINK("https://pbs.twimg.com/profile_banners/1234521505415024640/1633468485")</f>
        <v>https://pbs.twimg.com/profile_banners/1234521505415024640/1633468485</v>
      </c>
      <c r="AR18" s="79" t="b">
        <v>1</v>
      </c>
      <c r="AS18" s="79" t="b">
        <v>0</v>
      </c>
      <c r="AT18" s="79" t="b">
        <v>0</v>
      </c>
      <c r="AU18" s="79"/>
      <c r="AV18" s="79">
        <v>3</v>
      </c>
      <c r="AW18" s="79"/>
      <c r="AX18" s="79" t="b">
        <v>0</v>
      </c>
      <c r="AY18" s="79" t="s">
        <v>1601</v>
      </c>
      <c r="AZ18" s="84" t="str">
        <f>HYPERLINK("https://twitter.com/smperimeter")</f>
        <v>https://twitter.com/smperimeter</v>
      </c>
      <c r="BA18" s="79" t="s">
        <v>66</v>
      </c>
      <c r="BB18" s="79" t="str">
        <f>REPLACE(INDEX(GroupVertices[Group],MATCH(Vertices[[#This Row],[Vertex]],GroupVertices[Vertex],0)),1,1,"")</f>
        <v>26</v>
      </c>
      <c r="BC18" s="49" t="s">
        <v>1895</v>
      </c>
      <c r="BD18" s="49" t="s">
        <v>1895</v>
      </c>
      <c r="BE18" s="49" t="s">
        <v>518</v>
      </c>
      <c r="BF18" s="49" t="s">
        <v>518</v>
      </c>
      <c r="BG18" s="49" t="s">
        <v>548</v>
      </c>
      <c r="BH18" s="49" t="s">
        <v>548</v>
      </c>
      <c r="BI18" s="108" t="s">
        <v>2285</v>
      </c>
      <c r="BJ18" s="108" t="s">
        <v>2285</v>
      </c>
      <c r="BK18" s="108" t="s">
        <v>2363</v>
      </c>
      <c r="BL18" s="108" t="s">
        <v>2363</v>
      </c>
      <c r="BM18" s="108">
        <v>1</v>
      </c>
      <c r="BN18" s="111">
        <v>4.545454545454546</v>
      </c>
      <c r="BO18" s="108">
        <v>0</v>
      </c>
      <c r="BP18" s="111">
        <v>0</v>
      </c>
      <c r="BQ18" s="108">
        <v>0</v>
      </c>
      <c r="BR18" s="111">
        <v>0</v>
      </c>
      <c r="BS18" s="108">
        <v>21</v>
      </c>
      <c r="BT18" s="111">
        <v>95.45454545454545</v>
      </c>
      <c r="BU18" s="108">
        <v>22</v>
      </c>
      <c r="BV18" s="2"/>
      <c r="BW18" s="3"/>
      <c r="BX18" s="3"/>
      <c r="BY18" s="3"/>
      <c r="BZ18" s="3"/>
    </row>
    <row r="19" spans="1:78" ht="41.45" customHeight="1">
      <c r="A19" s="65" t="s">
        <v>370</v>
      </c>
      <c r="C19" s="66"/>
      <c r="D19" s="66" t="s">
        <v>64</v>
      </c>
      <c r="E19" s="67">
        <v>165.05944372130435</v>
      </c>
      <c r="F19" s="69"/>
      <c r="G19" s="103" t="str">
        <f>HYPERLINK("https://pbs.twimg.com/profile_images/1116846534954504193/u3MEm_RP_normal.png")</f>
        <v>https://pbs.twimg.com/profile_images/1116846534954504193/u3MEm_RP_normal.png</v>
      </c>
      <c r="H19" s="66"/>
      <c r="I19" s="70" t="s">
        <v>370</v>
      </c>
      <c r="J19" s="71"/>
      <c r="K19" s="71"/>
      <c r="L19" s="70" t="s">
        <v>1617</v>
      </c>
      <c r="M19" s="74">
        <v>3.340618188882434</v>
      </c>
      <c r="N19" s="75">
        <v>7767.33935546875</v>
      </c>
      <c r="O19" s="75">
        <v>909.5949096679688</v>
      </c>
      <c r="P19" s="76"/>
      <c r="Q19" s="77"/>
      <c r="R19" s="77"/>
      <c r="S19" s="89"/>
      <c r="T19" s="49">
        <v>1</v>
      </c>
      <c r="U19" s="49">
        <v>0</v>
      </c>
      <c r="V19" s="50">
        <v>0</v>
      </c>
      <c r="W19" s="50">
        <v>1</v>
      </c>
      <c r="X19" s="50">
        <v>0</v>
      </c>
      <c r="Y19" s="50">
        <v>0.999997</v>
      </c>
      <c r="Z19" s="50">
        <v>0</v>
      </c>
      <c r="AA19" s="50">
        <v>0</v>
      </c>
      <c r="AB19" s="72">
        <v>19</v>
      </c>
      <c r="AC19" s="72"/>
      <c r="AD19" s="73"/>
      <c r="AE19" s="79" t="s">
        <v>1032</v>
      </c>
      <c r="AF19" s="88" t="s">
        <v>1194</v>
      </c>
      <c r="AG19" s="79">
        <v>3606</v>
      </c>
      <c r="AH19" s="79">
        <v>6064</v>
      </c>
      <c r="AI19" s="79">
        <v>8710</v>
      </c>
      <c r="AJ19" s="79">
        <v>2534</v>
      </c>
      <c r="AK19" s="79"/>
      <c r="AL19" s="79" t="s">
        <v>1354</v>
      </c>
      <c r="AM19" s="79" t="s">
        <v>1514</v>
      </c>
      <c r="AN19" s="84" t="str">
        <f>HYPERLINK("https://t.co/CztoQL37Di")</f>
        <v>https://t.co/CztoQL37Di</v>
      </c>
      <c r="AO19" s="79"/>
      <c r="AP19" s="81">
        <v>40053.602268518516</v>
      </c>
      <c r="AQ19" s="84" t="str">
        <f>HYPERLINK("https://pbs.twimg.com/profile_banners/69600690/1555111931")</f>
        <v>https://pbs.twimg.com/profile_banners/69600690/1555111931</v>
      </c>
      <c r="AR19" s="79" t="b">
        <v>0</v>
      </c>
      <c r="AS19" s="79" t="b">
        <v>0</v>
      </c>
      <c r="AT19" s="79" t="b">
        <v>1</v>
      </c>
      <c r="AU19" s="79"/>
      <c r="AV19" s="79">
        <v>295</v>
      </c>
      <c r="AW19" s="84" t="str">
        <f>HYPERLINK("https://abs.twimg.com/images/themes/theme1/bg.png")</f>
        <v>https://abs.twimg.com/images/themes/theme1/bg.png</v>
      </c>
      <c r="AX19" s="79" t="b">
        <v>0</v>
      </c>
      <c r="AY19" s="79" t="s">
        <v>1601</v>
      </c>
      <c r="AZ19" s="84" t="str">
        <f>HYPERLINK("https://twitter.com/luxresearch")</f>
        <v>https://twitter.com/luxresearch</v>
      </c>
      <c r="BA19" s="79" t="s">
        <v>65</v>
      </c>
      <c r="BB19" s="79" t="str">
        <f>REPLACE(INDEX(GroupVertices[Group],MATCH(Vertices[[#This Row],[Vertex]],GroupVertices[Vertex],0)),1,1,"")</f>
        <v>26</v>
      </c>
      <c r="BC19" s="49"/>
      <c r="BD19" s="49"/>
      <c r="BE19" s="49"/>
      <c r="BF19" s="49"/>
      <c r="BG19" s="49"/>
      <c r="BH19" s="49"/>
      <c r="BI19" s="49"/>
      <c r="BJ19" s="49"/>
      <c r="BK19" s="49"/>
      <c r="BL19" s="49"/>
      <c r="BM19" s="49"/>
      <c r="BN19" s="50"/>
      <c r="BO19" s="49"/>
      <c r="BP19" s="50"/>
      <c r="BQ19" s="49"/>
      <c r="BR19" s="50"/>
      <c r="BS19" s="49"/>
      <c r="BT19" s="50"/>
      <c r="BU19" s="49"/>
      <c r="BV19" s="2"/>
      <c r="BW19" s="3"/>
      <c r="BX19" s="3"/>
      <c r="BY19" s="3"/>
      <c r="BZ19" s="3"/>
    </row>
    <row r="20" spans="1:78" ht="41.45" customHeight="1">
      <c r="A20" s="65" t="s">
        <v>245</v>
      </c>
      <c r="C20" s="66"/>
      <c r="D20" s="66" t="s">
        <v>64</v>
      </c>
      <c r="E20" s="67">
        <v>164.01759819285886</v>
      </c>
      <c r="F20" s="69"/>
      <c r="G20" s="103" t="str">
        <f>HYPERLINK("https://pbs.twimg.com/profile_images/1080476742496722946/sM--tjkf_normal.jpg")</f>
        <v>https://pbs.twimg.com/profile_images/1080476742496722946/sM--tjkf_normal.jpg</v>
      </c>
      <c r="H20" s="66"/>
      <c r="I20" s="70" t="s">
        <v>245</v>
      </c>
      <c r="J20" s="71"/>
      <c r="K20" s="71"/>
      <c r="L20" s="70" t="s">
        <v>1618</v>
      </c>
      <c r="M20" s="74">
        <v>2.5435574105113545</v>
      </c>
      <c r="N20" s="75">
        <v>2532.35546875</v>
      </c>
      <c r="O20" s="75">
        <v>1864.9967041015625</v>
      </c>
      <c r="P20" s="76"/>
      <c r="Q20" s="77"/>
      <c r="R20" s="77"/>
      <c r="S20" s="89"/>
      <c r="T20" s="49">
        <v>1</v>
      </c>
      <c r="U20" s="49">
        <v>1</v>
      </c>
      <c r="V20" s="50">
        <v>0</v>
      </c>
      <c r="W20" s="50">
        <v>0</v>
      </c>
      <c r="X20" s="50">
        <v>0</v>
      </c>
      <c r="Y20" s="50">
        <v>0.999997</v>
      </c>
      <c r="Z20" s="50">
        <v>0</v>
      </c>
      <c r="AA20" s="50">
        <v>0</v>
      </c>
      <c r="AB20" s="72">
        <v>20</v>
      </c>
      <c r="AC20" s="72"/>
      <c r="AD20" s="73"/>
      <c r="AE20" s="79" t="s">
        <v>1033</v>
      </c>
      <c r="AF20" s="88" t="s">
        <v>1195</v>
      </c>
      <c r="AG20" s="79">
        <v>1576</v>
      </c>
      <c r="AH20" s="79">
        <v>3999</v>
      </c>
      <c r="AI20" s="79">
        <v>2870</v>
      </c>
      <c r="AJ20" s="79">
        <v>17</v>
      </c>
      <c r="AK20" s="79"/>
      <c r="AL20" s="79" t="s">
        <v>1355</v>
      </c>
      <c r="AM20" s="79" t="s">
        <v>1515</v>
      </c>
      <c r="AN20" s="84" t="str">
        <f>HYPERLINK("http://t.co/TLwfUgfvNY")</f>
        <v>http://t.co/TLwfUgfvNY</v>
      </c>
      <c r="AO20" s="79"/>
      <c r="AP20" s="81">
        <v>39982.74523148148</v>
      </c>
      <c r="AQ20" s="84" t="str">
        <f>HYPERLINK("https://pbs.twimg.com/profile_banners/48429694/1544032436")</f>
        <v>https://pbs.twimg.com/profile_banners/48429694/1544032436</v>
      </c>
      <c r="AR20" s="79" t="b">
        <v>0</v>
      </c>
      <c r="AS20" s="79" t="b">
        <v>0</v>
      </c>
      <c r="AT20" s="79" t="b">
        <v>1</v>
      </c>
      <c r="AU20" s="79"/>
      <c r="AV20" s="79">
        <v>77</v>
      </c>
      <c r="AW20" s="84" t="str">
        <f>HYPERLINK("https://abs.twimg.com/images/themes/theme15/bg.png")</f>
        <v>https://abs.twimg.com/images/themes/theme15/bg.png</v>
      </c>
      <c r="AX20" s="79" t="b">
        <v>0</v>
      </c>
      <c r="AY20" s="79" t="s">
        <v>1601</v>
      </c>
      <c r="AZ20" s="84" t="str">
        <f>HYPERLINK("https://twitter.com/asifood")</f>
        <v>https://twitter.com/asifood</v>
      </c>
      <c r="BA20" s="79" t="s">
        <v>66</v>
      </c>
      <c r="BB20" s="79" t="str">
        <f>REPLACE(INDEX(GroupVertices[Group],MATCH(Vertices[[#This Row],[Vertex]],GroupVertices[Vertex],0)),1,1,"")</f>
        <v>2</v>
      </c>
      <c r="BC20" s="49"/>
      <c r="BD20" s="49"/>
      <c r="BE20" s="49"/>
      <c r="BF20" s="49"/>
      <c r="BG20" s="49"/>
      <c r="BH20" s="49"/>
      <c r="BI20" s="108" t="s">
        <v>2286</v>
      </c>
      <c r="BJ20" s="108" t="s">
        <v>2286</v>
      </c>
      <c r="BK20" s="108" t="s">
        <v>2364</v>
      </c>
      <c r="BL20" s="108" t="s">
        <v>2364</v>
      </c>
      <c r="BM20" s="108">
        <v>1</v>
      </c>
      <c r="BN20" s="111">
        <v>3.0303030303030303</v>
      </c>
      <c r="BO20" s="108">
        <v>0</v>
      </c>
      <c r="BP20" s="111">
        <v>0</v>
      </c>
      <c r="BQ20" s="108">
        <v>0</v>
      </c>
      <c r="BR20" s="111">
        <v>0</v>
      </c>
      <c r="BS20" s="108">
        <v>32</v>
      </c>
      <c r="BT20" s="111">
        <v>96.96969696969697</v>
      </c>
      <c r="BU20" s="108">
        <v>33</v>
      </c>
      <c r="BV20" s="2"/>
      <c r="BW20" s="3"/>
      <c r="BX20" s="3"/>
      <c r="BY20" s="3"/>
      <c r="BZ20" s="3"/>
    </row>
    <row r="21" spans="1:78" ht="41.45" customHeight="1">
      <c r="A21" s="65" t="s">
        <v>246</v>
      </c>
      <c r="C21" s="66"/>
      <c r="D21" s="66" t="s">
        <v>64</v>
      </c>
      <c r="E21" s="67">
        <v>164.73755633769747</v>
      </c>
      <c r="F21" s="69"/>
      <c r="G21" s="103" t="str">
        <f>HYPERLINK("https://pbs.twimg.com/profile_images/1082814916959059969/2QZgsWM9_normal.jpg")</f>
        <v>https://pbs.twimg.com/profile_images/1082814916959059969/2QZgsWM9_normal.jpg</v>
      </c>
      <c r="H21" s="66"/>
      <c r="I21" s="70" t="s">
        <v>246</v>
      </c>
      <c r="J21" s="71"/>
      <c r="K21" s="71"/>
      <c r="L21" s="70" t="s">
        <v>1619</v>
      </c>
      <c r="M21" s="74">
        <v>3.094359217162943</v>
      </c>
      <c r="N21" s="75">
        <v>6148.505859375</v>
      </c>
      <c r="O21" s="75">
        <v>2929.972900390625</v>
      </c>
      <c r="P21" s="76"/>
      <c r="Q21" s="77"/>
      <c r="R21" s="77"/>
      <c r="S21" s="89"/>
      <c r="T21" s="49">
        <v>0</v>
      </c>
      <c r="U21" s="49">
        <v>1</v>
      </c>
      <c r="V21" s="50">
        <v>0</v>
      </c>
      <c r="W21" s="50">
        <v>0.111111</v>
      </c>
      <c r="X21" s="50">
        <v>0</v>
      </c>
      <c r="Y21" s="50">
        <v>0.585364</v>
      </c>
      <c r="Z21" s="50">
        <v>0</v>
      </c>
      <c r="AA21" s="50">
        <v>0</v>
      </c>
      <c r="AB21" s="72">
        <v>21</v>
      </c>
      <c r="AC21" s="72"/>
      <c r="AD21" s="73"/>
      <c r="AE21" s="79" t="s">
        <v>1034</v>
      </c>
      <c r="AF21" s="88" t="s">
        <v>1196</v>
      </c>
      <c r="AG21" s="79">
        <v>5189</v>
      </c>
      <c r="AH21" s="79">
        <v>5426</v>
      </c>
      <c r="AI21" s="79">
        <v>3092</v>
      </c>
      <c r="AJ21" s="79">
        <v>16944</v>
      </c>
      <c r="AK21" s="79"/>
      <c r="AL21" s="79" t="s">
        <v>1356</v>
      </c>
      <c r="AM21" s="79" t="s">
        <v>1516</v>
      </c>
      <c r="AN21" s="84" t="str">
        <f>HYPERLINK("https://t.co/rRlX8jEojO")</f>
        <v>https://t.co/rRlX8jEojO</v>
      </c>
      <c r="AO21" s="79"/>
      <c r="AP21" s="81">
        <v>42997.78681712963</v>
      </c>
      <c r="AQ21" s="84" t="str">
        <f>HYPERLINK("https://pbs.twimg.com/profile_banners/910215164775059456/1529961063")</f>
        <v>https://pbs.twimg.com/profile_banners/910215164775059456/1529961063</v>
      </c>
      <c r="AR21" s="79" t="b">
        <v>0</v>
      </c>
      <c r="AS21" s="79" t="b">
        <v>0</v>
      </c>
      <c r="AT21" s="79" t="b">
        <v>0</v>
      </c>
      <c r="AU21" s="79"/>
      <c r="AV21" s="79">
        <v>22</v>
      </c>
      <c r="AW21" s="84" t="str">
        <f>HYPERLINK("https://abs.twimg.com/images/themes/theme1/bg.png")</f>
        <v>https://abs.twimg.com/images/themes/theme1/bg.png</v>
      </c>
      <c r="AX21" s="79" t="b">
        <v>0</v>
      </c>
      <c r="AY21" s="79" t="s">
        <v>1601</v>
      </c>
      <c r="AZ21" s="84" t="str">
        <f>HYPERLINK("https://twitter.com/sirlambomoon")</f>
        <v>https://twitter.com/sirlambomoon</v>
      </c>
      <c r="BA21" s="79" t="s">
        <v>66</v>
      </c>
      <c r="BB21" s="79" t="str">
        <f>REPLACE(INDEX(GroupVertices[Group],MATCH(Vertices[[#This Row],[Vertex]],GroupVertices[Vertex],0)),1,1,"")</f>
        <v>7</v>
      </c>
      <c r="BC21" s="49" t="s">
        <v>1827</v>
      </c>
      <c r="BD21" s="49" t="s">
        <v>1827</v>
      </c>
      <c r="BE21" s="49" t="s">
        <v>519</v>
      </c>
      <c r="BF21" s="49" t="s">
        <v>519</v>
      </c>
      <c r="BG21" s="49" t="s">
        <v>549</v>
      </c>
      <c r="BH21" s="49" t="s">
        <v>549</v>
      </c>
      <c r="BI21" s="108" t="s">
        <v>2287</v>
      </c>
      <c r="BJ21" s="108" t="s">
        <v>2287</v>
      </c>
      <c r="BK21" s="108" t="s">
        <v>2157</v>
      </c>
      <c r="BL21" s="108" t="s">
        <v>2157</v>
      </c>
      <c r="BM21" s="108">
        <v>0</v>
      </c>
      <c r="BN21" s="111">
        <v>0</v>
      </c>
      <c r="BO21" s="108">
        <v>0</v>
      </c>
      <c r="BP21" s="111">
        <v>0</v>
      </c>
      <c r="BQ21" s="108">
        <v>0</v>
      </c>
      <c r="BR21" s="111">
        <v>0</v>
      </c>
      <c r="BS21" s="108">
        <v>34</v>
      </c>
      <c r="BT21" s="111">
        <v>100</v>
      </c>
      <c r="BU21" s="108">
        <v>34</v>
      </c>
      <c r="BV21" s="2"/>
      <c r="BW21" s="3"/>
      <c r="BX21" s="3"/>
      <c r="BY21" s="3"/>
      <c r="BZ21" s="3"/>
    </row>
    <row r="22" spans="1:78" ht="41.45" customHeight="1">
      <c r="A22" s="65" t="s">
        <v>319</v>
      </c>
      <c r="C22" s="66"/>
      <c r="D22" s="66" t="s">
        <v>64</v>
      </c>
      <c r="E22" s="67">
        <v>162.813295395571</v>
      </c>
      <c r="F22" s="69"/>
      <c r="G22" s="103" t="str">
        <f>HYPERLINK("https://pbs.twimg.com/profile_images/805508045635809280/5kx8JJ4g_normal.jpg")</f>
        <v>https://pbs.twimg.com/profile_images/805508045635809280/5kx8JJ4g_normal.jpg</v>
      </c>
      <c r="H22" s="66"/>
      <c r="I22" s="70" t="s">
        <v>319</v>
      </c>
      <c r="J22" s="71"/>
      <c r="K22" s="71"/>
      <c r="L22" s="70" t="s">
        <v>1620</v>
      </c>
      <c r="M22" s="74">
        <v>1.622209188733259</v>
      </c>
      <c r="N22" s="75">
        <v>5832.5068359375</v>
      </c>
      <c r="O22" s="75">
        <v>3531.603515625</v>
      </c>
      <c r="P22" s="76"/>
      <c r="Q22" s="77"/>
      <c r="R22" s="77"/>
      <c r="S22" s="89"/>
      <c r="T22" s="49">
        <v>6</v>
      </c>
      <c r="U22" s="49">
        <v>1</v>
      </c>
      <c r="V22" s="50">
        <v>20</v>
      </c>
      <c r="W22" s="50">
        <v>0.2</v>
      </c>
      <c r="X22" s="50">
        <v>0</v>
      </c>
      <c r="Y22" s="50">
        <v>3.073161</v>
      </c>
      <c r="Z22" s="50">
        <v>0</v>
      </c>
      <c r="AA22" s="50">
        <v>0</v>
      </c>
      <c r="AB22" s="72">
        <v>22</v>
      </c>
      <c r="AC22" s="72"/>
      <c r="AD22" s="73"/>
      <c r="AE22" s="79" t="s">
        <v>1035</v>
      </c>
      <c r="AF22" s="88" t="s">
        <v>1197</v>
      </c>
      <c r="AG22" s="79">
        <v>1194</v>
      </c>
      <c r="AH22" s="79">
        <v>1612</v>
      </c>
      <c r="AI22" s="79">
        <v>669</v>
      </c>
      <c r="AJ22" s="79">
        <v>11276</v>
      </c>
      <c r="AK22" s="79"/>
      <c r="AL22" s="79" t="s">
        <v>1357</v>
      </c>
      <c r="AM22" s="79" t="s">
        <v>1517</v>
      </c>
      <c r="AN22" s="84" t="str">
        <f>HYPERLINK("https://t.co/DdUBHgsXou")</f>
        <v>https://t.co/DdUBHgsXou</v>
      </c>
      <c r="AO22" s="79"/>
      <c r="AP22" s="81">
        <v>42708.84563657407</v>
      </c>
      <c r="AQ22" s="84" t="str">
        <f>HYPERLINK("https://pbs.twimg.com/profile_banners/805506387619024896/1480883045")</f>
        <v>https://pbs.twimg.com/profile_banners/805506387619024896/1480883045</v>
      </c>
      <c r="AR22" s="79" t="b">
        <v>1</v>
      </c>
      <c r="AS22" s="79" t="b">
        <v>0</v>
      </c>
      <c r="AT22" s="79" t="b">
        <v>0</v>
      </c>
      <c r="AU22" s="79"/>
      <c r="AV22" s="79">
        <v>9</v>
      </c>
      <c r="AW22" s="79"/>
      <c r="AX22" s="79" t="b">
        <v>0</v>
      </c>
      <c r="AY22" s="79" t="s">
        <v>1601</v>
      </c>
      <c r="AZ22" s="84" t="str">
        <f>HYPERLINK("https://twitter.com/vision4future1")</f>
        <v>https://twitter.com/vision4future1</v>
      </c>
      <c r="BA22" s="79" t="s">
        <v>66</v>
      </c>
      <c r="BB22" s="79" t="str">
        <f>REPLACE(INDEX(GroupVertices[Group],MATCH(Vertices[[#This Row],[Vertex]],GroupVertices[Vertex],0)),1,1,"")</f>
        <v>7</v>
      </c>
      <c r="BC22" s="49" t="s">
        <v>1827</v>
      </c>
      <c r="BD22" s="49" t="s">
        <v>1827</v>
      </c>
      <c r="BE22" s="49" t="s">
        <v>519</v>
      </c>
      <c r="BF22" s="49" t="s">
        <v>519</v>
      </c>
      <c r="BG22" s="49" t="s">
        <v>549</v>
      </c>
      <c r="BH22" s="49" t="s">
        <v>549</v>
      </c>
      <c r="BI22" s="108" t="s">
        <v>2287</v>
      </c>
      <c r="BJ22" s="108" t="s">
        <v>2287</v>
      </c>
      <c r="BK22" s="108" t="s">
        <v>2157</v>
      </c>
      <c r="BL22" s="108" t="s">
        <v>2157</v>
      </c>
      <c r="BM22" s="108">
        <v>0</v>
      </c>
      <c r="BN22" s="111">
        <v>0</v>
      </c>
      <c r="BO22" s="108">
        <v>0</v>
      </c>
      <c r="BP22" s="111">
        <v>0</v>
      </c>
      <c r="BQ22" s="108">
        <v>0</v>
      </c>
      <c r="BR22" s="111">
        <v>0</v>
      </c>
      <c r="BS22" s="108">
        <v>34</v>
      </c>
      <c r="BT22" s="111">
        <v>100</v>
      </c>
      <c r="BU22" s="108">
        <v>34</v>
      </c>
      <c r="BV22" s="2"/>
      <c r="BW22" s="3"/>
      <c r="BX22" s="3"/>
      <c r="BY22" s="3"/>
      <c r="BZ22" s="3"/>
    </row>
    <row r="23" spans="1:78" ht="41.45" customHeight="1">
      <c r="A23" s="65" t="s">
        <v>247</v>
      </c>
      <c r="C23" s="66"/>
      <c r="D23" s="66" t="s">
        <v>64</v>
      </c>
      <c r="E23" s="67">
        <v>162.19121523258153</v>
      </c>
      <c r="F23" s="69"/>
      <c r="G23" s="103" t="str">
        <f>HYPERLINK("https://pbs.twimg.com/profile_images/1293599208209965056/wX7mfnMX_normal.jpg")</f>
        <v>https://pbs.twimg.com/profile_images/1293599208209965056/wX7mfnMX_normal.jpg</v>
      </c>
      <c r="H23" s="66"/>
      <c r="I23" s="70" t="s">
        <v>247</v>
      </c>
      <c r="J23" s="71"/>
      <c r="K23" s="71"/>
      <c r="L23" s="70" t="s">
        <v>1621</v>
      </c>
      <c r="M23" s="74">
        <v>1.1462886368051521</v>
      </c>
      <c r="N23" s="75">
        <v>5390.76513671875</v>
      </c>
      <c r="O23" s="75">
        <v>3665.375</v>
      </c>
      <c r="P23" s="76"/>
      <c r="Q23" s="77"/>
      <c r="R23" s="77"/>
      <c r="S23" s="89"/>
      <c r="T23" s="49">
        <v>0</v>
      </c>
      <c r="U23" s="49">
        <v>1</v>
      </c>
      <c r="V23" s="50">
        <v>0</v>
      </c>
      <c r="W23" s="50">
        <v>0.111111</v>
      </c>
      <c r="X23" s="50">
        <v>0</v>
      </c>
      <c r="Y23" s="50">
        <v>0.585364</v>
      </c>
      <c r="Z23" s="50">
        <v>0</v>
      </c>
      <c r="AA23" s="50">
        <v>0</v>
      </c>
      <c r="AB23" s="72">
        <v>23</v>
      </c>
      <c r="AC23" s="72"/>
      <c r="AD23" s="73"/>
      <c r="AE23" s="79" t="s">
        <v>1036</v>
      </c>
      <c r="AF23" s="88" t="s">
        <v>1198</v>
      </c>
      <c r="AG23" s="79">
        <v>990</v>
      </c>
      <c r="AH23" s="79">
        <v>379</v>
      </c>
      <c r="AI23" s="79">
        <v>23468</v>
      </c>
      <c r="AJ23" s="79">
        <v>4095</v>
      </c>
      <c r="AK23" s="79"/>
      <c r="AL23" s="79" t="s">
        <v>1358</v>
      </c>
      <c r="AM23" s="79" t="s">
        <v>1518</v>
      </c>
      <c r="AN23" s="79"/>
      <c r="AO23" s="79"/>
      <c r="AP23" s="81">
        <v>42804.40837962963</v>
      </c>
      <c r="AQ23" s="79"/>
      <c r="AR23" s="79" t="b">
        <v>0</v>
      </c>
      <c r="AS23" s="79" t="b">
        <v>0</v>
      </c>
      <c r="AT23" s="79" t="b">
        <v>0</v>
      </c>
      <c r="AU23" s="79"/>
      <c r="AV23" s="79">
        <v>2</v>
      </c>
      <c r="AW23" s="84" t="str">
        <f>HYPERLINK("https://abs.twimg.com/images/themes/theme1/bg.png")</f>
        <v>https://abs.twimg.com/images/themes/theme1/bg.png</v>
      </c>
      <c r="AX23" s="79" t="b">
        <v>0</v>
      </c>
      <c r="AY23" s="79" t="s">
        <v>1601</v>
      </c>
      <c r="AZ23" s="84" t="str">
        <f>HYPERLINK("https://twitter.com/whatisayisnt")</f>
        <v>https://twitter.com/whatisayisnt</v>
      </c>
      <c r="BA23" s="79" t="s">
        <v>66</v>
      </c>
      <c r="BB23" s="79" t="str">
        <f>REPLACE(INDEX(GroupVertices[Group],MATCH(Vertices[[#This Row],[Vertex]],GroupVertices[Vertex],0)),1,1,"")</f>
        <v>7</v>
      </c>
      <c r="BC23" s="49" t="s">
        <v>1827</v>
      </c>
      <c r="BD23" s="49" t="s">
        <v>1827</v>
      </c>
      <c r="BE23" s="49" t="s">
        <v>519</v>
      </c>
      <c r="BF23" s="49" t="s">
        <v>519</v>
      </c>
      <c r="BG23" s="49" t="s">
        <v>549</v>
      </c>
      <c r="BH23" s="49" t="s">
        <v>549</v>
      </c>
      <c r="BI23" s="108" t="s">
        <v>2287</v>
      </c>
      <c r="BJ23" s="108" t="s">
        <v>2287</v>
      </c>
      <c r="BK23" s="108" t="s">
        <v>2157</v>
      </c>
      <c r="BL23" s="108" t="s">
        <v>2157</v>
      </c>
      <c r="BM23" s="108">
        <v>0</v>
      </c>
      <c r="BN23" s="111">
        <v>0</v>
      </c>
      <c r="BO23" s="108">
        <v>0</v>
      </c>
      <c r="BP23" s="111">
        <v>0</v>
      </c>
      <c r="BQ23" s="108">
        <v>0</v>
      </c>
      <c r="BR23" s="111">
        <v>0</v>
      </c>
      <c r="BS23" s="108">
        <v>34</v>
      </c>
      <c r="BT23" s="111">
        <v>100</v>
      </c>
      <c r="BU23" s="108">
        <v>34</v>
      </c>
      <c r="BV23" s="2"/>
      <c r="BW23" s="3"/>
      <c r="BX23" s="3"/>
      <c r="BY23" s="3"/>
      <c r="BZ23" s="3"/>
    </row>
    <row r="24" spans="1:78" ht="41.45" customHeight="1">
      <c r="A24" s="65" t="s">
        <v>248</v>
      </c>
      <c r="C24" s="66"/>
      <c r="D24" s="66" t="s">
        <v>64</v>
      </c>
      <c r="E24" s="67">
        <v>162.06609286403213</v>
      </c>
      <c r="F24" s="69"/>
      <c r="G24" s="103" t="str">
        <f>HYPERLINK("https://pbs.twimg.com/profile_images/1386505602784845833/PVWfPFn__normal.jpg")</f>
        <v>https://pbs.twimg.com/profile_images/1386505602784845833/PVWfPFn__normal.jpg</v>
      </c>
      <c r="H24" s="66"/>
      <c r="I24" s="70" t="s">
        <v>248</v>
      </c>
      <c r="J24" s="71"/>
      <c r="K24" s="71"/>
      <c r="L24" s="70" t="s">
        <v>1622</v>
      </c>
      <c r="M24" s="74">
        <v>1.0505641462308046</v>
      </c>
      <c r="N24" s="75">
        <v>2066.218505859375</v>
      </c>
      <c r="O24" s="75">
        <v>3304.643310546875</v>
      </c>
      <c r="P24" s="76"/>
      <c r="Q24" s="77"/>
      <c r="R24" s="77"/>
      <c r="S24" s="89"/>
      <c r="T24" s="49">
        <v>1</v>
      </c>
      <c r="U24" s="49">
        <v>1</v>
      </c>
      <c r="V24" s="50">
        <v>0</v>
      </c>
      <c r="W24" s="50">
        <v>0</v>
      </c>
      <c r="X24" s="50">
        <v>0</v>
      </c>
      <c r="Y24" s="50">
        <v>0.999997</v>
      </c>
      <c r="Z24" s="50">
        <v>0</v>
      </c>
      <c r="AA24" s="50">
        <v>0</v>
      </c>
      <c r="AB24" s="72">
        <v>24</v>
      </c>
      <c r="AC24" s="72"/>
      <c r="AD24" s="73"/>
      <c r="AE24" s="79" t="s">
        <v>1037</v>
      </c>
      <c r="AF24" s="88" t="s">
        <v>1199</v>
      </c>
      <c r="AG24" s="79">
        <v>7</v>
      </c>
      <c r="AH24" s="79">
        <v>131</v>
      </c>
      <c r="AI24" s="79">
        <v>179</v>
      </c>
      <c r="AJ24" s="79">
        <v>0</v>
      </c>
      <c r="AK24" s="79"/>
      <c r="AL24" s="79" t="s">
        <v>1359</v>
      </c>
      <c r="AM24" s="79"/>
      <c r="AN24" s="79"/>
      <c r="AO24" s="79"/>
      <c r="AP24" s="81">
        <v>44311.29787037037</v>
      </c>
      <c r="AQ24" s="79"/>
      <c r="AR24" s="79" t="b">
        <v>1</v>
      </c>
      <c r="AS24" s="79" t="b">
        <v>0</v>
      </c>
      <c r="AT24" s="79" t="b">
        <v>0</v>
      </c>
      <c r="AU24" s="79"/>
      <c r="AV24" s="79">
        <v>1</v>
      </c>
      <c r="AW24" s="79"/>
      <c r="AX24" s="79" t="b">
        <v>0</v>
      </c>
      <c r="AY24" s="79" t="s">
        <v>1601</v>
      </c>
      <c r="AZ24" s="84" t="str">
        <f>HYPERLINK("https://twitter.com/greenative_co")</f>
        <v>https://twitter.com/greenative_co</v>
      </c>
      <c r="BA24" s="79" t="s">
        <v>66</v>
      </c>
      <c r="BB24" s="79" t="str">
        <f>REPLACE(INDEX(GroupVertices[Group],MATCH(Vertices[[#This Row],[Vertex]],GroupVertices[Vertex],0)),1,1,"")</f>
        <v>2</v>
      </c>
      <c r="BC24" s="49" t="s">
        <v>1843</v>
      </c>
      <c r="BD24" s="49" t="s">
        <v>1843</v>
      </c>
      <c r="BE24" s="49" t="s">
        <v>520</v>
      </c>
      <c r="BF24" s="49" t="s">
        <v>520</v>
      </c>
      <c r="BG24" s="49" t="s">
        <v>550</v>
      </c>
      <c r="BH24" s="49" t="s">
        <v>550</v>
      </c>
      <c r="BI24" s="108" t="s">
        <v>2288</v>
      </c>
      <c r="BJ24" s="108" t="s">
        <v>2288</v>
      </c>
      <c r="BK24" s="108" t="s">
        <v>2365</v>
      </c>
      <c r="BL24" s="108" t="s">
        <v>2365</v>
      </c>
      <c r="BM24" s="108">
        <v>0</v>
      </c>
      <c r="BN24" s="111">
        <v>0</v>
      </c>
      <c r="BO24" s="108">
        <v>0</v>
      </c>
      <c r="BP24" s="111">
        <v>0</v>
      </c>
      <c r="BQ24" s="108">
        <v>0</v>
      </c>
      <c r="BR24" s="111">
        <v>0</v>
      </c>
      <c r="BS24" s="108">
        <v>41</v>
      </c>
      <c r="BT24" s="111">
        <v>100</v>
      </c>
      <c r="BU24" s="108">
        <v>41</v>
      </c>
      <c r="BV24" s="2"/>
      <c r="BW24" s="3"/>
      <c r="BX24" s="3"/>
      <c r="BY24" s="3"/>
      <c r="BZ24" s="3"/>
    </row>
    <row r="25" spans="1:78" ht="41.45" customHeight="1">
      <c r="A25" s="65" t="s">
        <v>249</v>
      </c>
      <c r="C25" s="66"/>
      <c r="D25" s="66" t="s">
        <v>64</v>
      </c>
      <c r="E25" s="67">
        <v>166.99631780542165</v>
      </c>
      <c r="F25" s="69"/>
      <c r="G25" s="103" t="str">
        <f>HYPERLINK("https://pbs.twimg.com/profile_images/1122884182840098816/svagVcmt_normal.jpg")</f>
        <v>https://pbs.twimg.com/profile_images/1122884182840098816/svagVcmt_normal.jpg</v>
      </c>
      <c r="H25" s="66"/>
      <c r="I25" s="70" t="s">
        <v>249</v>
      </c>
      <c r="J25" s="71"/>
      <c r="K25" s="71"/>
      <c r="L25" s="70" t="s">
        <v>1623</v>
      </c>
      <c r="M25" s="74">
        <v>4.82241786353937</v>
      </c>
      <c r="N25" s="75">
        <v>5785.48486328125</v>
      </c>
      <c r="O25" s="75">
        <v>7961.474609375</v>
      </c>
      <c r="P25" s="76"/>
      <c r="Q25" s="77"/>
      <c r="R25" s="77"/>
      <c r="S25" s="89"/>
      <c r="T25" s="49">
        <v>1</v>
      </c>
      <c r="U25" s="49">
        <v>4</v>
      </c>
      <c r="V25" s="50">
        <v>9</v>
      </c>
      <c r="W25" s="50">
        <v>0.083333</v>
      </c>
      <c r="X25" s="50">
        <v>0</v>
      </c>
      <c r="Y25" s="50">
        <v>1.416686</v>
      </c>
      <c r="Z25" s="50">
        <v>0.25</v>
      </c>
      <c r="AA25" s="50">
        <v>0.25</v>
      </c>
      <c r="AB25" s="72">
        <v>25</v>
      </c>
      <c r="AC25" s="72"/>
      <c r="AD25" s="73"/>
      <c r="AE25" s="79" t="s">
        <v>1038</v>
      </c>
      <c r="AF25" s="88" t="s">
        <v>1200</v>
      </c>
      <c r="AG25" s="79">
        <v>2170</v>
      </c>
      <c r="AH25" s="79">
        <v>9903</v>
      </c>
      <c r="AI25" s="79">
        <v>17818</v>
      </c>
      <c r="AJ25" s="79">
        <v>5189</v>
      </c>
      <c r="AK25" s="79"/>
      <c r="AL25" s="79" t="s">
        <v>1360</v>
      </c>
      <c r="AM25" s="79" t="s">
        <v>1519</v>
      </c>
      <c r="AN25" s="84" t="str">
        <f>HYPERLINK("https://t.co/ZvBSbn4DNs")</f>
        <v>https://t.co/ZvBSbn4DNs</v>
      </c>
      <c r="AO25" s="79"/>
      <c r="AP25" s="81">
        <v>41757.54927083333</v>
      </c>
      <c r="AQ25" s="84" t="str">
        <f>HYPERLINK("https://pbs.twimg.com/profile_banners/2467726476/1592226603")</f>
        <v>https://pbs.twimg.com/profile_banners/2467726476/1592226603</v>
      </c>
      <c r="AR25" s="79" t="b">
        <v>1</v>
      </c>
      <c r="AS25" s="79" t="b">
        <v>0</v>
      </c>
      <c r="AT25" s="79" t="b">
        <v>1</v>
      </c>
      <c r="AU25" s="79"/>
      <c r="AV25" s="79">
        <v>389</v>
      </c>
      <c r="AW25" s="84" t="str">
        <f>HYPERLINK("https://abs.twimg.com/images/themes/theme1/bg.png")</f>
        <v>https://abs.twimg.com/images/themes/theme1/bg.png</v>
      </c>
      <c r="AX25" s="79" t="b">
        <v>0</v>
      </c>
      <c r="AY25" s="79" t="s">
        <v>1601</v>
      </c>
      <c r="AZ25" s="84" t="str">
        <f>HYPERLINK("https://twitter.com/ffoodinstitute")</f>
        <v>https://twitter.com/ffoodinstitute</v>
      </c>
      <c r="BA25" s="79" t="s">
        <v>66</v>
      </c>
      <c r="BB25" s="79" t="str">
        <f>REPLACE(INDEX(GroupVertices[Group],MATCH(Vertices[[#This Row],[Vertex]],GroupVertices[Vertex],0)),1,1,"")</f>
        <v>6</v>
      </c>
      <c r="BC25" s="49" t="s">
        <v>1869</v>
      </c>
      <c r="BD25" s="49" t="s">
        <v>1869</v>
      </c>
      <c r="BE25" s="49" t="s">
        <v>521</v>
      </c>
      <c r="BF25" s="49" t="s">
        <v>521</v>
      </c>
      <c r="BG25" s="49"/>
      <c r="BH25" s="49"/>
      <c r="BI25" s="108" t="s">
        <v>2289</v>
      </c>
      <c r="BJ25" s="108" t="s">
        <v>2289</v>
      </c>
      <c r="BK25" s="108" t="s">
        <v>2156</v>
      </c>
      <c r="BL25" s="108" t="s">
        <v>2156</v>
      </c>
      <c r="BM25" s="108">
        <v>0</v>
      </c>
      <c r="BN25" s="111">
        <v>0</v>
      </c>
      <c r="BO25" s="108">
        <v>0</v>
      </c>
      <c r="BP25" s="111">
        <v>0</v>
      </c>
      <c r="BQ25" s="108">
        <v>0</v>
      </c>
      <c r="BR25" s="111">
        <v>0</v>
      </c>
      <c r="BS25" s="108">
        <v>33</v>
      </c>
      <c r="BT25" s="111">
        <v>100</v>
      </c>
      <c r="BU25" s="108">
        <v>33</v>
      </c>
      <c r="BV25" s="2"/>
      <c r="BW25" s="3"/>
      <c r="BX25" s="3"/>
      <c r="BY25" s="3"/>
      <c r="BZ25" s="3"/>
    </row>
    <row r="26" spans="1:78" ht="41.45" customHeight="1">
      <c r="A26" s="65" t="s">
        <v>371</v>
      </c>
      <c r="C26" s="66"/>
      <c r="D26" s="66" t="s">
        <v>64</v>
      </c>
      <c r="E26" s="67">
        <v>162.5131026161884</v>
      </c>
      <c r="F26" s="69"/>
      <c r="G26" s="103" t="str">
        <f>HYPERLINK("https://pbs.twimg.com/profile_images/1140852628257157120/CocZxZ64_normal.png")</f>
        <v>https://pbs.twimg.com/profile_images/1140852628257157120/CocZxZ64_normal.png</v>
      </c>
      <c r="H26" s="66"/>
      <c r="I26" s="70" t="s">
        <v>371</v>
      </c>
      <c r="J26" s="71"/>
      <c r="K26" s="71"/>
      <c r="L26" s="70" t="s">
        <v>1624</v>
      </c>
      <c r="M26" s="74">
        <v>1.392547608524643</v>
      </c>
      <c r="N26" s="75">
        <v>5390.76513671875</v>
      </c>
      <c r="O26" s="75">
        <v>8188.751953125</v>
      </c>
      <c r="P26" s="76"/>
      <c r="Q26" s="77"/>
      <c r="R26" s="77"/>
      <c r="S26" s="89"/>
      <c r="T26" s="49">
        <v>2</v>
      </c>
      <c r="U26" s="49">
        <v>0</v>
      </c>
      <c r="V26" s="50">
        <v>0</v>
      </c>
      <c r="W26" s="50">
        <v>0.058824</v>
      </c>
      <c r="X26" s="50">
        <v>0</v>
      </c>
      <c r="Y26" s="50">
        <v>0.752091</v>
      </c>
      <c r="Z26" s="50">
        <v>1</v>
      </c>
      <c r="AA26" s="50">
        <v>0</v>
      </c>
      <c r="AB26" s="72">
        <v>26</v>
      </c>
      <c r="AC26" s="72"/>
      <c r="AD26" s="73"/>
      <c r="AE26" s="79" t="s">
        <v>1039</v>
      </c>
      <c r="AF26" s="88" t="s">
        <v>1201</v>
      </c>
      <c r="AG26" s="79">
        <v>1611</v>
      </c>
      <c r="AH26" s="79">
        <v>1017</v>
      </c>
      <c r="AI26" s="79">
        <v>1599</v>
      </c>
      <c r="AJ26" s="79">
        <v>1581</v>
      </c>
      <c r="AK26" s="79"/>
      <c r="AL26" s="79" t="s">
        <v>1361</v>
      </c>
      <c r="AM26" s="79" t="s">
        <v>1520</v>
      </c>
      <c r="AN26" s="84" t="str">
        <f>HYPERLINK("https://t.co/UXHofPFLPu")</f>
        <v>https://t.co/UXHofPFLPu</v>
      </c>
      <c r="AO26" s="79"/>
      <c r="AP26" s="81">
        <v>40658.91064814815</v>
      </c>
      <c r="AQ26" s="84" t="str">
        <f>HYPERLINK("https://pbs.twimg.com/profile_banners/287895488/1566456573")</f>
        <v>https://pbs.twimg.com/profile_banners/287895488/1566456573</v>
      </c>
      <c r="AR26" s="79" t="b">
        <v>0</v>
      </c>
      <c r="AS26" s="79" t="b">
        <v>0</v>
      </c>
      <c r="AT26" s="79" t="b">
        <v>1</v>
      </c>
      <c r="AU26" s="79"/>
      <c r="AV26" s="79">
        <v>0</v>
      </c>
      <c r="AW26" s="84" t="str">
        <f>HYPERLINK("https://abs.twimg.com/images/themes/theme9/bg.gif")</f>
        <v>https://abs.twimg.com/images/themes/theme9/bg.gif</v>
      </c>
      <c r="AX26" s="79" t="b">
        <v>0</v>
      </c>
      <c r="AY26" s="79" t="s">
        <v>1601</v>
      </c>
      <c r="AZ26" s="84" t="str">
        <f>HYPERLINK("https://twitter.com/clairececchini")</f>
        <v>https://twitter.com/clairececchini</v>
      </c>
      <c r="BA26" s="79" t="s">
        <v>65</v>
      </c>
      <c r="BB26" s="79" t="str">
        <f>REPLACE(INDEX(GroupVertices[Group],MATCH(Vertices[[#This Row],[Vertex]],GroupVertices[Vertex],0)),1,1,"")</f>
        <v>6</v>
      </c>
      <c r="BC26" s="49"/>
      <c r="BD26" s="49"/>
      <c r="BE26" s="49"/>
      <c r="BF26" s="49"/>
      <c r="BG26" s="49"/>
      <c r="BH26" s="49"/>
      <c r="BI26" s="49"/>
      <c r="BJ26" s="49"/>
      <c r="BK26" s="49"/>
      <c r="BL26" s="49"/>
      <c r="BM26" s="49"/>
      <c r="BN26" s="50"/>
      <c r="BO26" s="49"/>
      <c r="BP26" s="50"/>
      <c r="BQ26" s="49"/>
      <c r="BR26" s="50"/>
      <c r="BS26" s="49"/>
      <c r="BT26" s="50"/>
      <c r="BU26" s="49"/>
      <c r="BV26" s="2"/>
      <c r="BW26" s="3"/>
      <c r="BX26" s="3"/>
      <c r="BY26" s="3"/>
      <c r="BZ26" s="3"/>
    </row>
    <row r="27" spans="1:78" ht="41.45" customHeight="1">
      <c r="A27" s="65" t="s">
        <v>250</v>
      </c>
      <c r="C27" s="66"/>
      <c r="D27" s="66" t="s">
        <v>64</v>
      </c>
      <c r="E27" s="67">
        <v>163.67552978206658</v>
      </c>
      <c r="F27" s="69"/>
      <c r="G27" s="103" t="str">
        <f>HYPERLINK("https://pbs.twimg.com/profile_images/1430059625915854895/wltKSzhZ_normal.jpg")</f>
        <v>https://pbs.twimg.com/profile_images/1430059625915854895/wltKSzhZ_normal.jpg</v>
      </c>
      <c r="H27" s="66"/>
      <c r="I27" s="70" t="s">
        <v>250</v>
      </c>
      <c r="J27" s="71"/>
      <c r="K27" s="71"/>
      <c r="L27" s="70" t="s">
        <v>1625</v>
      </c>
      <c r="M27" s="74">
        <v>2.281859004828259</v>
      </c>
      <c r="N27" s="75">
        <v>5674.8125</v>
      </c>
      <c r="O27" s="75">
        <v>8213.25</v>
      </c>
      <c r="P27" s="76"/>
      <c r="Q27" s="77"/>
      <c r="R27" s="77"/>
      <c r="S27" s="89"/>
      <c r="T27" s="49">
        <v>1</v>
      </c>
      <c r="U27" s="49">
        <v>4</v>
      </c>
      <c r="V27" s="50">
        <v>9</v>
      </c>
      <c r="W27" s="50">
        <v>0.083333</v>
      </c>
      <c r="X27" s="50">
        <v>0</v>
      </c>
      <c r="Y27" s="50">
        <v>1.416686</v>
      </c>
      <c r="Z27" s="50">
        <v>0.25</v>
      </c>
      <c r="AA27" s="50">
        <v>0.25</v>
      </c>
      <c r="AB27" s="72">
        <v>27</v>
      </c>
      <c r="AC27" s="72"/>
      <c r="AD27" s="73"/>
      <c r="AE27" s="79" t="s">
        <v>1040</v>
      </c>
      <c r="AF27" s="88" t="s">
        <v>1202</v>
      </c>
      <c r="AG27" s="79">
        <v>87</v>
      </c>
      <c r="AH27" s="79">
        <v>3321</v>
      </c>
      <c r="AI27" s="79">
        <v>1062</v>
      </c>
      <c r="AJ27" s="79">
        <v>1829</v>
      </c>
      <c r="AK27" s="79"/>
      <c r="AL27" s="79" t="s">
        <v>1362</v>
      </c>
      <c r="AM27" s="79" t="s">
        <v>1521</v>
      </c>
      <c r="AN27" s="84" t="str">
        <f>HYPERLINK("https://t.co/5uG6wtRIii")</f>
        <v>https://t.co/5uG6wtRIii</v>
      </c>
      <c r="AO27" s="79"/>
      <c r="AP27" s="81">
        <v>43440.40993055556</v>
      </c>
      <c r="AQ27" s="84" t="str">
        <f>HYPERLINK("https://pbs.twimg.com/profile_banners/1070616411951779840/1625671620")</f>
        <v>https://pbs.twimg.com/profile_banners/1070616411951779840/1625671620</v>
      </c>
      <c r="AR27" s="79" t="b">
        <v>0</v>
      </c>
      <c r="AS27" s="79" t="b">
        <v>0</v>
      </c>
      <c r="AT27" s="79" t="b">
        <v>1</v>
      </c>
      <c r="AU27" s="79"/>
      <c r="AV27" s="79">
        <v>90</v>
      </c>
      <c r="AW27" s="84" t="str">
        <f>HYPERLINK("https://abs.twimg.com/images/themes/theme1/bg.png")</f>
        <v>https://abs.twimg.com/images/themes/theme1/bg.png</v>
      </c>
      <c r="AX27" s="79" t="b">
        <v>0</v>
      </c>
      <c r="AY27" s="79" t="s">
        <v>1601</v>
      </c>
      <c r="AZ27" s="84" t="str">
        <f>HYPERLINK("https://twitter.com/alephfarms")</f>
        <v>https://twitter.com/alephfarms</v>
      </c>
      <c r="BA27" s="79" t="s">
        <v>66</v>
      </c>
      <c r="BB27" s="79" t="str">
        <f>REPLACE(INDEX(GroupVertices[Group],MATCH(Vertices[[#This Row],[Vertex]],GroupVertices[Vertex],0)),1,1,"")</f>
        <v>6</v>
      </c>
      <c r="BC27" s="49" t="s">
        <v>1869</v>
      </c>
      <c r="BD27" s="49" t="s">
        <v>1869</v>
      </c>
      <c r="BE27" s="49" t="s">
        <v>521</v>
      </c>
      <c r="BF27" s="49" t="s">
        <v>521</v>
      </c>
      <c r="BG27" s="49"/>
      <c r="BH27" s="49"/>
      <c r="BI27" s="108" t="s">
        <v>2289</v>
      </c>
      <c r="BJ27" s="108" t="s">
        <v>2289</v>
      </c>
      <c r="BK27" s="108" t="s">
        <v>2156</v>
      </c>
      <c r="BL27" s="108" t="s">
        <v>2156</v>
      </c>
      <c r="BM27" s="108">
        <v>0</v>
      </c>
      <c r="BN27" s="111">
        <v>0</v>
      </c>
      <c r="BO27" s="108">
        <v>0</v>
      </c>
      <c r="BP27" s="111">
        <v>0</v>
      </c>
      <c r="BQ27" s="108">
        <v>0</v>
      </c>
      <c r="BR27" s="111">
        <v>0</v>
      </c>
      <c r="BS27" s="108">
        <v>33</v>
      </c>
      <c r="BT27" s="111">
        <v>100</v>
      </c>
      <c r="BU27" s="108">
        <v>33</v>
      </c>
      <c r="BV27" s="2"/>
      <c r="BW27" s="3"/>
      <c r="BX27" s="3"/>
      <c r="BY27" s="3"/>
      <c r="BZ27" s="3"/>
    </row>
    <row r="28" spans="1:78" ht="41.45" customHeight="1">
      <c r="A28" s="65" t="s">
        <v>372</v>
      </c>
      <c r="C28" s="66"/>
      <c r="D28" s="66" t="s">
        <v>64</v>
      </c>
      <c r="E28" s="67">
        <v>1000</v>
      </c>
      <c r="F28" s="69"/>
      <c r="G28" s="103" t="str">
        <f>HYPERLINK("https://pbs.twimg.com/profile_images/694662257586892802/mdc5ELjj_normal.jpg")</f>
        <v>https://pbs.twimg.com/profile_images/694662257586892802/mdc5ELjj_normal.jpg</v>
      </c>
      <c r="H28" s="66"/>
      <c r="I28" s="70" t="s">
        <v>372</v>
      </c>
      <c r="J28" s="71"/>
      <c r="K28" s="71"/>
      <c r="L28" s="70" t="s">
        <v>1626</v>
      </c>
      <c r="M28" s="74">
        <v>7477.513860049979</v>
      </c>
      <c r="N28" s="75">
        <v>5663.6044921875</v>
      </c>
      <c r="O28" s="75">
        <v>7564.6884765625</v>
      </c>
      <c r="P28" s="76"/>
      <c r="Q28" s="77"/>
      <c r="R28" s="77"/>
      <c r="S28" s="89"/>
      <c r="T28" s="49">
        <v>2</v>
      </c>
      <c r="U28" s="49">
        <v>0</v>
      </c>
      <c r="V28" s="50">
        <v>0</v>
      </c>
      <c r="W28" s="50">
        <v>0.058824</v>
      </c>
      <c r="X28" s="50">
        <v>0</v>
      </c>
      <c r="Y28" s="50">
        <v>0.752091</v>
      </c>
      <c r="Z28" s="50">
        <v>1</v>
      </c>
      <c r="AA28" s="50">
        <v>0</v>
      </c>
      <c r="AB28" s="72">
        <v>28</v>
      </c>
      <c r="AC28" s="72"/>
      <c r="AD28" s="73"/>
      <c r="AE28" s="79" t="s">
        <v>1041</v>
      </c>
      <c r="AF28" s="88" t="s">
        <v>1203</v>
      </c>
      <c r="AG28" s="79">
        <v>234</v>
      </c>
      <c r="AH28" s="79">
        <v>19369917</v>
      </c>
      <c r="AI28" s="79">
        <v>2431</v>
      </c>
      <c r="AJ28" s="79">
        <v>326</v>
      </c>
      <c r="AK28" s="79"/>
      <c r="AL28" s="79" t="s">
        <v>1363</v>
      </c>
      <c r="AM28" s="79" t="s">
        <v>1522</v>
      </c>
      <c r="AN28" s="79"/>
      <c r="AO28" s="79"/>
      <c r="AP28" s="81">
        <v>40284.919594907406</v>
      </c>
      <c r="AQ28" s="84" t="str">
        <f>HYPERLINK("https://pbs.twimg.com/profile_banners/133880286/1605632691")</f>
        <v>https://pbs.twimg.com/profile_banners/133880286/1605632691</v>
      </c>
      <c r="AR28" s="79" t="b">
        <v>0</v>
      </c>
      <c r="AS28" s="79" t="b">
        <v>0</v>
      </c>
      <c r="AT28" s="79" t="b">
        <v>0</v>
      </c>
      <c r="AU28" s="79"/>
      <c r="AV28" s="79">
        <v>34354</v>
      </c>
      <c r="AW28" s="84" t="str">
        <f>HYPERLINK("https://abs.twimg.com/images/themes/theme14/bg.gif")</f>
        <v>https://abs.twimg.com/images/themes/theme14/bg.gif</v>
      </c>
      <c r="AX28" s="79" t="b">
        <v>1</v>
      </c>
      <c r="AY28" s="79" t="s">
        <v>1601</v>
      </c>
      <c r="AZ28" s="84" t="str">
        <f>HYPERLINK("https://twitter.com/leodicaprio")</f>
        <v>https://twitter.com/leodicaprio</v>
      </c>
      <c r="BA28" s="79" t="s">
        <v>65</v>
      </c>
      <c r="BB28" s="79" t="str">
        <f>REPLACE(INDEX(GroupVertices[Group],MATCH(Vertices[[#This Row],[Vertex]],GroupVertices[Vertex],0)),1,1,"")</f>
        <v>6</v>
      </c>
      <c r="BC28" s="49"/>
      <c r="BD28" s="49"/>
      <c r="BE28" s="49"/>
      <c r="BF28" s="49"/>
      <c r="BG28" s="49"/>
      <c r="BH28" s="49"/>
      <c r="BI28" s="49"/>
      <c r="BJ28" s="49"/>
      <c r="BK28" s="49"/>
      <c r="BL28" s="49"/>
      <c r="BM28" s="49"/>
      <c r="BN28" s="50"/>
      <c r="BO28" s="49"/>
      <c r="BP28" s="50"/>
      <c r="BQ28" s="49"/>
      <c r="BR28" s="50"/>
      <c r="BS28" s="49"/>
      <c r="BT28" s="50"/>
      <c r="BU28" s="49"/>
      <c r="BV28" s="2"/>
      <c r="BW28" s="3"/>
      <c r="BX28" s="3"/>
      <c r="BY28" s="3"/>
      <c r="BZ28" s="3"/>
    </row>
    <row r="29" spans="1:78" ht="41.45" customHeight="1">
      <c r="A29" s="65" t="s">
        <v>373</v>
      </c>
      <c r="C29" s="66"/>
      <c r="D29" s="66" t="s">
        <v>64</v>
      </c>
      <c r="E29" s="67">
        <v>163.9091251717374</v>
      </c>
      <c r="F29" s="69"/>
      <c r="G29" s="103" t="str">
        <f>HYPERLINK("https://pbs.twimg.com/profile_images/1347485189216366593/E_rlOJGx_normal.jpg")</f>
        <v>https://pbs.twimg.com/profile_images/1347485189216366593/E_rlOJGx_normal.jpg</v>
      </c>
      <c r="H29" s="66"/>
      <c r="I29" s="70" t="s">
        <v>373</v>
      </c>
      <c r="J29" s="71"/>
      <c r="K29" s="71"/>
      <c r="L29" s="70" t="s">
        <v>1627</v>
      </c>
      <c r="M29" s="74">
        <v>2.4605704529569805</v>
      </c>
      <c r="N29" s="75">
        <v>5995.79931640625</v>
      </c>
      <c r="O29" s="75">
        <v>8364.31640625</v>
      </c>
      <c r="P29" s="76"/>
      <c r="Q29" s="77"/>
      <c r="R29" s="77"/>
      <c r="S29" s="89"/>
      <c r="T29" s="49">
        <v>3</v>
      </c>
      <c r="U29" s="49">
        <v>0</v>
      </c>
      <c r="V29" s="50">
        <v>24</v>
      </c>
      <c r="W29" s="50">
        <v>0.090909</v>
      </c>
      <c r="X29" s="50">
        <v>0</v>
      </c>
      <c r="Y29" s="50">
        <v>1.151871</v>
      </c>
      <c r="Z29" s="50">
        <v>0.3333333333333333</v>
      </c>
      <c r="AA29" s="50">
        <v>0</v>
      </c>
      <c r="AB29" s="72">
        <v>29</v>
      </c>
      <c r="AC29" s="72"/>
      <c r="AD29" s="73"/>
      <c r="AE29" s="79" t="s">
        <v>1042</v>
      </c>
      <c r="AF29" s="88" t="s">
        <v>1204</v>
      </c>
      <c r="AG29" s="79">
        <v>256</v>
      </c>
      <c r="AH29" s="79">
        <v>3784</v>
      </c>
      <c r="AI29" s="79">
        <v>269</v>
      </c>
      <c r="AJ29" s="79">
        <v>431</v>
      </c>
      <c r="AK29" s="79"/>
      <c r="AL29" s="79" t="s">
        <v>1364</v>
      </c>
      <c r="AM29" s="79" t="s">
        <v>1523</v>
      </c>
      <c r="AN29" s="84" t="str">
        <f>HYPERLINK("https://t.co/ARZuzVFJri")</f>
        <v>https://t.co/ARZuzVFJri</v>
      </c>
      <c r="AO29" s="79"/>
      <c r="AP29" s="81">
        <v>42660.34165509259</v>
      </c>
      <c r="AQ29" s="84" t="str">
        <f>HYPERLINK("https://pbs.twimg.com/profile_banners/787929135423299584/1610100480")</f>
        <v>https://pbs.twimg.com/profile_banners/787929135423299584/1610100480</v>
      </c>
      <c r="AR29" s="79" t="b">
        <v>1</v>
      </c>
      <c r="AS29" s="79" t="b">
        <v>0</v>
      </c>
      <c r="AT29" s="79" t="b">
        <v>0</v>
      </c>
      <c r="AU29" s="79"/>
      <c r="AV29" s="79">
        <v>84</v>
      </c>
      <c r="AW29" s="79"/>
      <c r="AX29" s="79" t="b">
        <v>0</v>
      </c>
      <c r="AY29" s="79" t="s">
        <v>1601</v>
      </c>
      <c r="AZ29" s="84" t="str">
        <f>HYPERLINK("https://twitter.com/mosa_meat")</f>
        <v>https://twitter.com/mosa_meat</v>
      </c>
      <c r="BA29" s="79" t="s">
        <v>65</v>
      </c>
      <c r="BB29" s="79" t="str">
        <f>REPLACE(INDEX(GroupVertices[Group],MATCH(Vertices[[#This Row],[Vertex]],GroupVertices[Vertex],0)),1,1,"")</f>
        <v>6</v>
      </c>
      <c r="BC29" s="49"/>
      <c r="BD29" s="49"/>
      <c r="BE29" s="49"/>
      <c r="BF29" s="49"/>
      <c r="BG29" s="49"/>
      <c r="BH29" s="49"/>
      <c r="BI29" s="49"/>
      <c r="BJ29" s="49"/>
      <c r="BK29" s="49"/>
      <c r="BL29" s="49"/>
      <c r="BM29" s="49"/>
      <c r="BN29" s="50"/>
      <c r="BO29" s="49"/>
      <c r="BP29" s="50"/>
      <c r="BQ29" s="49"/>
      <c r="BR29" s="50"/>
      <c r="BS29" s="49"/>
      <c r="BT29" s="50"/>
      <c r="BU29" s="49"/>
      <c r="BV29" s="2"/>
      <c r="BW29" s="3"/>
      <c r="BX29" s="3"/>
      <c r="BY29" s="3"/>
      <c r="BZ29" s="3"/>
    </row>
    <row r="30" spans="1:78" ht="41.45" customHeight="1">
      <c r="A30" s="65" t="s">
        <v>251</v>
      </c>
      <c r="C30" s="66"/>
      <c r="D30" s="66" t="s">
        <v>64</v>
      </c>
      <c r="E30" s="67">
        <v>162.01513577038904</v>
      </c>
      <c r="F30" s="69"/>
      <c r="G30" s="103" t="str">
        <f>HYPERLINK("https://pbs.twimg.com/profile_images/1325439685372600321/r46LiSsY_normal.jpg")</f>
        <v>https://pbs.twimg.com/profile_images/1325439685372600321/r46LiSsY_normal.jpg</v>
      </c>
      <c r="H30" s="66"/>
      <c r="I30" s="70" t="s">
        <v>251</v>
      </c>
      <c r="J30" s="71"/>
      <c r="K30" s="71"/>
      <c r="L30" s="70" t="s">
        <v>1628</v>
      </c>
      <c r="M30" s="74">
        <v>1.0115795754727033</v>
      </c>
      <c r="N30" s="75">
        <v>1133.944580078125</v>
      </c>
      <c r="O30" s="75">
        <v>3304.643310546875</v>
      </c>
      <c r="P30" s="76"/>
      <c r="Q30" s="77"/>
      <c r="R30" s="77"/>
      <c r="S30" s="89"/>
      <c r="T30" s="49">
        <v>1</v>
      </c>
      <c r="U30" s="49">
        <v>1</v>
      </c>
      <c r="V30" s="50">
        <v>0</v>
      </c>
      <c r="W30" s="50">
        <v>0</v>
      </c>
      <c r="X30" s="50">
        <v>0</v>
      </c>
      <c r="Y30" s="50">
        <v>0.999997</v>
      </c>
      <c r="Z30" s="50">
        <v>0</v>
      </c>
      <c r="AA30" s="50">
        <v>0</v>
      </c>
      <c r="AB30" s="72">
        <v>30</v>
      </c>
      <c r="AC30" s="72"/>
      <c r="AD30" s="73"/>
      <c r="AE30" s="79" t="s">
        <v>1043</v>
      </c>
      <c r="AF30" s="88" t="s">
        <v>1205</v>
      </c>
      <c r="AG30" s="79">
        <v>56</v>
      </c>
      <c r="AH30" s="79">
        <v>30</v>
      </c>
      <c r="AI30" s="79">
        <v>20</v>
      </c>
      <c r="AJ30" s="79">
        <v>6</v>
      </c>
      <c r="AK30" s="79"/>
      <c r="AL30" s="79" t="s">
        <v>1365</v>
      </c>
      <c r="AM30" s="79"/>
      <c r="AN30" s="79"/>
      <c r="AO30" s="79"/>
      <c r="AP30" s="81">
        <v>44143.58740740741</v>
      </c>
      <c r="AQ30" s="79"/>
      <c r="AR30" s="79" t="b">
        <v>1</v>
      </c>
      <c r="AS30" s="79" t="b">
        <v>0</v>
      </c>
      <c r="AT30" s="79" t="b">
        <v>0</v>
      </c>
      <c r="AU30" s="79"/>
      <c r="AV30" s="79">
        <v>3</v>
      </c>
      <c r="AW30" s="79"/>
      <c r="AX30" s="79" t="b">
        <v>0</v>
      </c>
      <c r="AY30" s="79" t="s">
        <v>1601</v>
      </c>
      <c r="AZ30" s="84" t="str">
        <f>HYPERLINK("https://twitter.com/drpaulbartels1")</f>
        <v>https://twitter.com/drpaulbartels1</v>
      </c>
      <c r="BA30" s="79" t="s">
        <v>66</v>
      </c>
      <c r="BB30" s="79" t="str">
        <f>REPLACE(INDEX(GroupVertices[Group],MATCH(Vertices[[#This Row],[Vertex]],GroupVertices[Vertex],0)),1,1,"")</f>
        <v>2</v>
      </c>
      <c r="BC30" s="49" t="s">
        <v>1844</v>
      </c>
      <c r="BD30" s="49" t="s">
        <v>1844</v>
      </c>
      <c r="BE30" s="49" t="s">
        <v>522</v>
      </c>
      <c r="BF30" s="49" t="s">
        <v>522</v>
      </c>
      <c r="BG30" s="49" t="s">
        <v>551</v>
      </c>
      <c r="BH30" s="49" t="s">
        <v>551</v>
      </c>
      <c r="BI30" s="108" t="s">
        <v>2290</v>
      </c>
      <c r="BJ30" s="108" t="s">
        <v>2290</v>
      </c>
      <c r="BK30" s="108" t="s">
        <v>2366</v>
      </c>
      <c r="BL30" s="108" t="s">
        <v>2366</v>
      </c>
      <c r="BM30" s="108">
        <v>0</v>
      </c>
      <c r="BN30" s="111">
        <v>0</v>
      </c>
      <c r="BO30" s="108">
        <v>0</v>
      </c>
      <c r="BP30" s="111">
        <v>0</v>
      </c>
      <c r="BQ30" s="108">
        <v>0</v>
      </c>
      <c r="BR30" s="111">
        <v>0</v>
      </c>
      <c r="BS30" s="108">
        <v>2</v>
      </c>
      <c r="BT30" s="111">
        <v>100</v>
      </c>
      <c r="BU30" s="108">
        <v>2</v>
      </c>
      <c r="BV30" s="2"/>
      <c r="BW30" s="3"/>
      <c r="BX30" s="3"/>
      <c r="BY30" s="3"/>
      <c r="BZ30" s="3"/>
    </row>
    <row r="31" spans="1:78" ht="41.45" customHeight="1">
      <c r="A31" s="65" t="s">
        <v>252</v>
      </c>
      <c r="C31" s="66"/>
      <c r="D31" s="66" t="s">
        <v>64</v>
      </c>
      <c r="E31" s="67">
        <v>162.18919712986298</v>
      </c>
      <c r="F31" s="69"/>
      <c r="G31" s="103" t="str">
        <f>HYPERLINK("https://pbs.twimg.com/profile_images/525654030639308801/ttl-7iNr_normal.jpeg")</f>
        <v>https://pbs.twimg.com/profile_images/525654030639308801/ttl-7iNr_normal.jpeg</v>
      </c>
      <c r="H31" s="66"/>
      <c r="I31" s="70" t="s">
        <v>252</v>
      </c>
      <c r="J31" s="71"/>
      <c r="K31" s="71"/>
      <c r="L31" s="70" t="s">
        <v>1629</v>
      </c>
      <c r="M31" s="74">
        <v>1.1447446934087917</v>
      </c>
      <c r="N31" s="75">
        <v>6231.2607421875</v>
      </c>
      <c r="O31" s="75">
        <v>3916.786865234375</v>
      </c>
      <c r="P31" s="76"/>
      <c r="Q31" s="77"/>
      <c r="R31" s="77"/>
      <c r="S31" s="89"/>
      <c r="T31" s="49">
        <v>0</v>
      </c>
      <c r="U31" s="49">
        <v>1</v>
      </c>
      <c r="V31" s="50">
        <v>0</v>
      </c>
      <c r="W31" s="50">
        <v>0.111111</v>
      </c>
      <c r="X31" s="50">
        <v>0</v>
      </c>
      <c r="Y31" s="50">
        <v>0.585364</v>
      </c>
      <c r="Z31" s="50">
        <v>0</v>
      </c>
      <c r="AA31" s="50">
        <v>0</v>
      </c>
      <c r="AB31" s="72">
        <v>31</v>
      </c>
      <c r="AC31" s="72"/>
      <c r="AD31" s="73"/>
      <c r="AE31" s="79" t="s">
        <v>1044</v>
      </c>
      <c r="AF31" s="88" t="s">
        <v>1206</v>
      </c>
      <c r="AG31" s="79">
        <v>614</v>
      </c>
      <c r="AH31" s="79">
        <v>375</v>
      </c>
      <c r="AI31" s="79">
        <v>6737</v>
      </c>
      <c r="AJ31" s="79">
        <v>10027</v>
      </c>
      <c r="AK31" s="79"/>
      <c r="AL31" s="79" t="s">
        <v>1366</v>
      </c>
      <c r="AM31" s="79" t="s">
        <v>1524</v>
      </c>
      <c r="AN31" s="79"/>
      <c r="AO31" s="79"/>
      <c r="AP31" s="81">
        <v>39982.284837962965</v>
      </c>
      <c r="AQ31" s="84" t="str">
        <f>HYPERLINK("https://pbs.twimg.com/profile_banners/48273264/1414160950")</f>
        <v>https://pbs.twimg.com/profile_banners/48273264/1414160950</v>
      </c>
      <c r="AR31" s="79" t="b">
        <v>1</v>
      </c>
      <c r="AS31" s="79" t="b">
        <v>0</v>
      </c>
      <c r="AT31" s="79" t="b">
        <v>0</v>
      </c>
      <c r="AU31" s="79"/>
      <c r="AV31" s="79">
        <v>29</v>
      </c>
      <c r="AW31" s="84" t="str">
        <f>HYPERLINK("https://abs.twimg.com/images/themes/theme1/bg.png")</f>
        <v>https://abs.twimg.com/images/themes/theme1/bg.png</v>
      </c>
      <c r="AX31" s="79" t="b">
        <v>0</v>
      </c>
      <c r="AY31" s="79" t="s">
        <v>1601</v>
      </c>
      <c r="AZ31" s="84" t="str">
        <f>HYPERLINK("https://twitter.com/ironstar95")</f>
        <v>https://twitter.com/ironstar95</v>
      </c>
      <c r="BA31" s="79" t="s">
        <v>66</v>
      </c>
      <c r="BB31" s="79" t="str">
        <f>REPLACE(INDEX(GroupVertices[Group],MATCH(Vertices[[#This Row],[Vertex]],GroupVertices[Vertex],0)),1,1,"")</f>
        <v>7</v>
      </c>
      <c r="BC31" s="49" t="s">
        <v>1827</v>
      </c>
      <c r="BD31" s="49" t="s">
        <v>1827</v>
      </c>
      <c r="BE31" s="49" t="s">
        <v>519</v>
      </c>
      <c r="BF31" s="49" t="s">
        <v>519</v>
      </c>
      <c r="BG31" s="49" t="s">
        <v>549</v>
      </c>
      <c r="BH31" s="49" t="s">
        <v>549</v>
      </c>
      <c r="BI31" s="108" t="s">
        <v>2287</v>
      </c>
      <c r="BJ31" s="108" t="s">
        <v>2287</v>
      </c>
      <c r="BK31" s="108" t="s">
        <v>2157</v>
      </c>
      <c r="BL31" s="108" t="s">
        <v>2157</v>
      </c>
      <c r="BM31" s="108">
        <v>0</v>
      </c>
      <c r="BN31" s="111">
        <v>0</v>
      </c>
      <c r="BO31" s="108">
        <v>0</v>
      </c>
      <c r="BP31" s="111">
        <v>0</v>
      </c>
      <c r="BQ31" s="108">
        <v>0</v>
      </c>
      <c r="BR31" s="111">
        <v>0</v>
      </c>
      <c r="BS31" s="108">
        <v>34</v>
      </c>
      <c r="BT31" s="111">
        <v>100</v>
      </c>
      <c r="BU31" s="108">
        <v>34</v>
      </c>
      <c r="BV31" s="2"/>
      <c r="BW31" s="3"/>
      <c r="BX31" s="3"/>
      <c r="BY31" s="3"/>
      <c r="BZ31" s="3"/>
    </row>
    <row r="32" spans="1:78" ht="41.45" customHeight="1">
      <c r="A32" s="65" t="s">
        <v>253</v>
      </c>
      <c r="C32" s="66"/>
      <c r="D32" s="66" t="s">
        <v>64</v>
      </c>
      <c r="E32" s="67">
        <v>162.0449027854875</v>
      </c>
      <c r="F32" s="69"/>
      <c r="G32" s="103" t="str">
        <f>HYPERLINK("https://pbs.twimg.com/profile_images/1304159174310408199/I93Wl_PP_normal.jpg")</f>
        <v>https://pbs.twimg.com/profile_images/1304159174310408199/I93Wl_PP_normal.jpg</v>
      </c>
      <c r="H32" s="66"/>
      <c r="I32" s="70" t="s">
        <v>253</v>
      </c>
      <c r="J32" s="71"/>
      <c r="K32" s="71"/>
      <c r="L32" s="70" t="s">
        <v>1630</v>
      </c>
      <c r="M32" s="74">
        <v>1.0343527405690198</v>
      </c>
      <c r="N32" s="75">
        <v>7767.33935546875</v>
      </c>
      <c r="O32" s="75">
        <v>4960.23681640625</v>
      </c>
      <c r="P32" s="76"/>
      <c r="Q32" s="77"/>
      <c r="R32" s="77"/>
      <c r="S32" s="89"/>
      <c r="T32" s="49">
        <v>0</v>
      </c>
      <c r="U32" s="49">
        <v>1</v>
      </c>
      <c r="V32" s="50">
        <v>0</v>
      </c>
      <c r="W32" s="50">
        <v>1</v>
      </c>
      <c r="X32" s="50">
        <v>0</v>
      </c>
      <c r="Y32" s="50">
        <v>0.999997</v>
      </c>
      <c r="Z32" s="50">
        <v>0</v>
      </c>
      <c r="AA32" s="50">
        <v>0</v>
      </c>
      <c r="AB32" s="72">
        <v>32</v>
      </c>
      <c r="AC32" s="72"/>
      <c r="AD32" s="73"/>
      <c r="AE32" s="79" t="s">
        <v>1045</v>
      </c>
      <c r="AF32" s="88" t="s">
        <v>1207</v>
      </c>
      <c r="AG32" s="79">
        <v>345</v>
      </c>
      <c r="AH32" s="79">
        <v>89</v>
      </c>
      <c r="AI32" s="79">
        <v>3553</v>
      </c>
      <c r="AJ32" s="79">
        <v>595</v>
      </c>
      <c r="AK32" s="79"/>
      <c r="AL32" s="79" t="s">
        <v>1367</v>
      </c>
      <c r="AM32" s="79" t="s">
        <v>1525</v>
      </c>
      <c r="AN32" s="84" t="str">
        <f>HYPERLINK("https://t.co/C1sQnOVFhx")</f>
        <v>https://t.co/C1sQnOVFhx</v>
      </c>
      <c r="AO32" s="79"/>
      <c r="AP32" s="81">
        <v>42467.66232638889</v>
      </c>
      <c r="AQ32" s="84" t="str">
        <f>HYPERLINK("https://pbs.twimg.com/profile_banners/718104481951522818/1599740618")</f>
        <v>https://pbs.twimg.com/profile_banners/718104481951522818/1599740618</v>
      </c>
      <c r="AR32" s="79" t="b">
        <v>1</v>
      </c>
      <c r="AS32" s="79" t="b">
        <v>0</v>
      </c>
      <c r="AT32" s="79" t="b">
        <v>0</v>
      </c>
      <c r="AU32" s="79"/>
      <c r="AV32" s="79">
        <v>0</v>
      </c>
      <c r="AW32" s="79"/>
      <c r="AX32" s="79" t="b">
        <v>0</v>
      </c>
      <c r="AY32" s="79" t="s">
        <v>1601</v>
      </c>
      <c r="AZ32" s="84" t="str">
        <f>HYPERLINK("https://twitter.com/blacksmithapps")</f>
        <v>https://twitter.com/blacksmithapps</v>
      </c>
      <c r="BA32" s="79" t="s">
        <v>66</v>
      </c>
      <c r="BB32" s="79" t="str">
        <f>REPLACE(INDEX(GroupVertices[Group],MATCH(Vertices[[#This Row],[Vertex]],GroupVertices[Vertex],0)),1,1,"")</f>
        <v>25</v>
      </c>
      <c r="BC32" s="49" t="s">
        <v>1894</v>
      </c>
      <c r="BD32" s="49" t="s">
        <v>1894</v>
      </c>
      <c r="BE32" s="49" t="s">
        <v>514</v>
      </c>
      <c r="BF32" s="49" t="s">
        <v>514</v>
      </c>
      <c r="BG32" s="49"/>
      <c r="BH32" s="49"/>
      <c r="BI32" s="108" t="s">
        <v>2291</v>
      </c>
      <c r="BJ32" s="108" t="s">
        <v>2291</v>
      </c>
      <c r="BK32" s="108" t="s">
        <v>2367</v>
      </c>
      <c r="BL32" s="108" t="s">
        <v>2367</v>
      </c>
      <c r="BM32" s="108">
        <v>1</v>
      </c>
      <c r="BN32" s="111">
        <v>7.142857142857143</v>
      </c>
      <c r="BO32" s="108">
        <v>0</v>
      </c>
      <c r="BP32" s="111">
        <v>0</v>
      </c>
      <c r="BQ32" s="108">
        <v>0</v>
      </c>
      <c r="BR32" s="111">
        <v>0</v>
      </c>
      <c r="BS32" s="108">
        <v>13</v>
      </c>
      <c r="BT32" s="111">
        <v>92.85714285714286</v>
      </c>
      <c r="BU32" s="108">
        <v>14</v>
      </c>
      <c r="BV32" s="2"/>
      <c r="BW32" s="3"/>
      <c r="BX32" s="3"/>
      <c r="BY32" s="3"/>
      <c r="BZ32" s="3"/>
    </row>
    <row r="33" spans="1:78" ht="41.45" customHeight="1">
      <c r="A33" s="65" t="s">
        <v>374</v>
      </c>
      <c r="C33" s="66"/>
      <c r="D33" s="66" t="s">
        <v>64</v>
      </c>
      <c r="E33" s="67">
        <v>167.23344487484994</v>
      </c>
      <c r="F33" s="69"/>
      <c r="G33" s="103" t="str">
        <f>HYPERLINK("https://pbs.twimg.com/profile_images/974026674596663301/bjj2AmFz_normal.jpg")</f>
        <v>https://pbs.twimg.com/profile_images/974026674596663301/bjj2AmFz_normal.jpg</v>
      </c>
      <c r="H33" s="66"/>
      <c r="I33" s="70" t="s">
        <v>374</v>
      </c>
      <c r="J33" s="71"/>
      <c r="K33" s="71"/>
      <c r="L33" s="70" t="s">
        <v>1631</v>
      </c>
      <c r="M33" s="74">
        <v>5.003831212611723</v>
      </c>
      <c r="N33" s="75">
        <v>7767.33935546875</v>
      </c>
      <c r="O33" s="75">
        <v>4724.658203125</v>
      </c>
      <c r="P33" s="76"/>
      <c r="Q33" s="77"/>
      <c r="R33" s="77"/>
      <c r="S33" s="89"/>
      <c r="T33" s="49">
        <v>1</v>
      </c>
      <c r="U33" s="49">
        <v>0</v>
      </c>
      <c r="V33" s="50">
        <v>0</v>
      </c>
      <c r="W33" s="50">
        <v>1</v>
      </c>
      <c r="X33" s="50">
        <v>0</v>
      </c>
      <c r="Y33" s="50">
        <v>0.999997</v>
      </c>
      <c r="Z33" s="50">
        <v>0</v>
      </c>
      <c r="AA33" s="50">
        <v>0</v>
      </c>
      <c r="AB33" s="72">
        <v>33</v>
      </c>
      <c r="AC33" s="72"/>
      <c r="AD33" s="73"/>
      <c r="AE33" s="79" t="s">
        <v>1046</v>
      </c>
      <c r="AF33" s="88" t="s">
        <v>1208</v>
      </c>
      <c r="AG33" s="79">
        <v>678</v>
      </c>
      <c r="AH33" s="79">
        <v>10373</v>
      </c>
      <c r="AI33" s="79">
        <v>22072</v>
      </c>
      <c r="AJ33" s="79">
        <v>1181</v>
      </c>
      <c r="AK33" s="79"/>
      <c r="AL33" s="79" t="s">
        <v>1368</v>
      </c>
      <c r="AM33" s="79" t="s">
        <v>1526</v>
      </c>
      <c r="AN33" s="84" t="str">
        <f>HYPERLINK("https://t.co/V3gxnbnj9w")</f>
        <v>https://t.co/V3gxnbnj9w</v>
      </c>
      <c r="AO33" s="79"/>
      <c r="AP33" s="81">
        <v>41171.81346064815</v>
      </c>
      <c r="AQ33" s="84" t="str">
        <f>HYPERLINK("https://pbs.twimg.com/profile_banners/833990635/1582903484")</f>
        <v>https://pbs.twimg.com/profile_banners/833990635/1582903484</v>
      </c>
      <c r="AR33" s="79" t="b">
        <v>0</v>
      </c>
      <c r="AS33" s="79" t="b">
        <v>0</v>
      </c>
      <c r="AT33" s="79" t="b">
        <v>0</v>
      </c>
      <c r="AU33" s="79"/>
      <c r="AV33" s="79">
        <v>429</v>
      </c>
      <c r="AW33" s="84" t="str">
        <f>HYPERLINK("https://abs.twimg.com/images/themes/theme1/bg.png")</f>
        <v>https://abs.twimg.com/images/themes/theme1/bg.png</v>
      </c>
      <c r="AX33" s="79" t="b">
        <v>1</v>
      </c>
      <c r="AY33" s="79" t="s">
        <v>1601</v>
      </c>
      <c r="AZ33" s="84" t="str">
        <f>HYPERLINK("https://twitter.com/fooddive")</f>
        <v>https://twitter.com/fooddive</v>
      </c>
      <c r="BA33" s="79" t="s">
        <v>65</v>
      </c>
      <c r="BB33" s="79" t="str">
        <f>REPLACE(INDEX(GroupVertices[Group],MATCH(Vertices[[#This Row],[Vertex]],GroupVertices[Vertex],0)),1,1,"")</f>
        <v>25</v>
      </c>
      <c r="BC33" s="49"/>
      <c r="BD33" s="49"/>
      <c r="BE33" s="49"/>
      <c r="BF33" s="49"/>
      <c r="BG33" s="49"/>
      <c r="BH33" s="49"/>
      <c r="BI33" s="49"/>
      <c r="BJ33" s="49"/>
      <c r="BK33" s="49"/>
      <c r="BL33" s="49"/>
      <c r="BM33" s="49"/>
      <c r="BN33" s="50"/>
      <c r="BO33" s="49"/>
      <c r="BP33" s="50"/>
      <c r="BQ33" s="49"/>
      <c r="BR33" s="50"/>
      <c r="BS33" s="49"/>
      <c r="BT33" s="50"/>
      <c r="BU33" s="49"/>
      <c r="BV33" s="2"/>
      <c r="BW33" s="3"/>
      <c r="BX33" s="3"/>
      <c r="BY33" s="3"/>
      <c r="BZ33" s="3"/>
    </row>
    <row r="34" spans="1:78" ht="41.45" customHeight="1">
      <c r="A34" s="65" t="s">
        <v>254</v>
      </c>
      <c r="C34" s="66"/>
      <c r="D34" s="66" t="s">
        <v>64</v>
      </c>
      <c r="E34" s="67">
        <v>172.2575115926515</v>
      </c>
      <c r="F34" s="69"/>
      <c r="G34" s="103" t="str">
        <f>HYPERLINK("https://pbs.twimg.com/profile_images/452047074813419520/xZcPzubX_normal.jpeg")</f>
        <v>https://pbs.twimg.com/profile_images/452047074813419520/xZcPzubX_normal.jpeg</v>
      </c>
      <c r="H34" s="66"/>
      <c r="I34" s="70" t="s">
        <v>254</v>
      </c>
      <c r="J34" s="71"/>
      <c r="K34" s="71"/>
      <c r="L34" s="70" t="s">
        <v>1632</v>
      </c>
      <c r="M34" s="74">
        <v>8.84747829785105</v>
      </c>
      <c r="N34" s="75">
        <v>8303.517578125</v>
      </c>
      <c r="O34" s="75">
        <v>6092.32275390625</v>
      </c>
      <c r="P34" s="76"/>
      <c r="Q34" s="77"/>
      <c r="R34" s="77"/>
      <c r="S34" s="89"/>
      <c r="T34" s="49">
        <v>0</v>
      </c>
      <c r="U34" s="49">
        <v>1</v>
      </c>
      <c r="V34" s="50">
        <v>0</v>
      </c>
      <c r="W34" s="50">
        <v>0.333333</v>
      </c>
      <c r="X34" s="50">
        <v>0</v>
      </c>
      <c r="Y34" s="50">
        <v>0.638296</v>
      </c>
      <c r="Z34" s="50">
        <v>0</v>
      </c>
      <c r="AA34" s="50">
        <v>0</v>
      </c>
      <c r="AB34" s="72">
        <v>34</v>
      </c>
      <c r="AC34" s="72"/>
      <c r="AD34" s="73"/>
      <c r="AE34" s="79" t="s">
        <v>1047</v>
      </c>
      <c r="AF34" s="88" t="s">
        <v>1209</v>
      </c>
      <c r="AG34" s="79">
        <v>524</v>
      </c>
      <c r="AH34" s="79">
        <v>20331</v>
      </c>
      <c r="AI34" s="79">
        <v>4985</v>
      </c>
      <c r="AJ34" s="79">
        <v>3171</v>
      </c>
      <c r="AK34" s="79"/>
      <c r="AL34" s="79" t="s">
        <v>1369</v>
      </c>
      <c r="AM34" s="79" t="s">
        <v>1512</v>
      </c>
      <c r="AN34" s="84" t="str">
        <f>HYPERLINK("http://t.co/Jrwt5wx3rB")</f>
        <v>http://t.co/Jrwt5wx3rB</v>
      </c>
      <c r="AO34" s="79"/>
      <c r="AP34" s="81">
        <v>40806.64429398148</v>
      </c>
      <c r="AQ34" s="84" t="str">
        <f>HYPERLINK("https://pbs.twimg.com/profile_banners/376830513/1525401042")</f>
        <v>https://pbs.twimg.com/profile_banners/376830513/1525401042</v>
      </c>
      <c r="AR34" s="79" t="b">
        <v>0</v>
      </c>
      <c r="AS34" s="79" t="b">
        <v>0</v>
      </c>
      <c r="AT34" s="79" t="b">
        <v>0</v>
      </c>
      <c r="AU34" s="79"/>
      <c r="AV34" s="79">
        <v>425</v>
      </c>
      <c r="AW34" s="84" t="str">
        <f>HYPERLINK("https://abs.twimg.com/images/themes/theme3/bg.gif")</f>
        <v>https://abs.twimg.com/images/themes/theme3/bg.gif</v>
      </c>
      <c r="AX34" s="79" t="b">
        <v>0</v>
      </c>
      <c r="AY34" s="79" t="s">
        <v>1601</v>
      </c>
      <c r="AZ34" s="84" t="str">
        <f>HYPERLINK("https://twitter.com/80000hours")</f>
        <v>https://twitter.com/80000hours</v>
      </c>
      <c r="BA34" s="79" t="s">
        <v>66</v>
      </c>
      <c r="BB34" s="79" t="str">
        <f>REPLACE(INDEX(GroupVertices[Group],MATCH(Vertices[[#This Row],[Vertex]],GroupVertices[Vertex],0)),1,1,"")</f>
        <v>15</v>
      </c>
      <c r="BC34" s="49" t="s">
        <v>1891</v>
      </c>
      <c r="BD34" s="49" t="s">
        <v>1891</v>
      </c>
      <c r="BE34" s="49" t="s">
        <v>523</v>
      </c>
      <c r="BF34" s="49" t="s">
        <v>523</v>
      </c>
      <c r="BG34" s="49"/>
      <c r="BH34" s="49"/>
      <c r="BI34" s="108" t="s">
        <v>2046</v>
      </c>
      <c r="BJ34" s="108" t="s">
        <v>2046</v>
      </c>
      <c r="BK34" s="108" t="s">
        <v>2163</v>
      </c>
      <c r="BL34" s="108" t="s">
        <v>2163</v>
      </c>
      <c r="BM34" s="108">
        <v>1</v>
      </c>
      <c r="BN34" s="111">
        <v>3.5714285714285716</v>
      </c>
      <c r="BO34" s="108">
        <v>2</v>
      </c>
      <c r="BP34" s="111">
        <v>7.142857142857143</v>
      </c>
      <c r="BQ34" s="108">
        <v>0</v>
      </c>
      <c r="BR34" s="111">
        <v>0</v>
      </c>
      <c r="BS34" s="108">
        <v>25</v>
      </c>
      <c r="BT34" s="111">
        <v>89.28571428571429</v>
      </c>
      <c r="BU34" s="108">
        <v>28</v>
      </c>
      <c r="BV34" s="2"/>
      <c r="BW34" s="3"/>
      <c r="BX34" s="3"/>
      <c r="BY34" s="3"/>
      <c r="BZ34" s="3"/>
    </row>
    <row r="35" spans="1:78" ht="41.45" customHeight="1">
      <c r="A35" s="65" t="s">
        <v>255</v>
      </c>
      <c r="C35" s="66"/>
      <c r="D35" s="66" t="s">
        <v>64</v>
      </c>
      <c r="E35" s="67">
        <v>171.80394300665998</v>
      </c>
      <c r="F35" s="69"/>
      <c r="G35" s="103" t="str">
        <f>HYPERLINK("https://pbs.twimg.com/profile_images/1325208743873667073/Zo-6k3LB_normal.jpg")</f>
        <v>https://pbs.twimg.com/profile_images/1325208743873667073/Zo-6k3LB_normal.jpg</v>
      </c>
      <c r="H35" s="66"/>
      <c r="I35" s="70" t="s">
        <v>255</v>
      </c>
      <c r="J35" s="71"/>
      <c r="K35" s="71"/>
      <c r="L35" s="70" t="s">
        <v>1633</v>
      </c>
      <c r="M35" s="74">
        <v>8.500477019519039</v>
      </c>
      <c r="N35" s="75">
        <v>8535.3779296875</v>
      </c>
      <c r="O35" s="75">
        <v>6550.39208984375</v>
      </c>
      <c r="P35" s="76"/>
      <c r="Q35" s="77"/>
      <c r="R35" s="77"/>
      <c r="S35" s="89"/>
      <c r="T35" s="49">
        <v>3</v>
      </c>
      <c r="U35" s="49">
        <v>1</v>
      </c>
      <c r="V35" s="50">
        <v>2</v>
      </c>
      <c r="W35" s="50">
        <v>0.5</v>
      </c>
      <c r="X35" s="50">
        <v>0</v>
      </c>
      <c r="Y35" s="50">
        <v>1.723399</v>
      </c>
      <c r="Z35" s="50">
        <v>0</v>
      </c>
      <c r="AA35" s="50">
        <v>0</v>
      </c>
      <c r="AB35" s="72">
        <v>35</v>
      </c>
      <c r="AC35" s="72"/>
      <c r="AD35" s="73"/>
      <c r="AE35" s="79" t="s">
        <v>1048</v>
      </c>
      <c r="AF35" s="88" t="s">
        <v>1210</v>
      </c>
      <c r="AG35" s="79">
        <v>473</v>
      </c>
      <c r="AH35" s="79">
        <v>19432</v>
      </c>
      <c r="AI35" s="79">
        <v>4433</v>
      </c>
      <c r="AJ35" s="79">
        <v>2725</v>
      </c>
      <c r="AK35" s="79"/>
      <c r="AL35" s="79" t="s">
        <v>1370</v>
      </c>
      <c r="AM35" s="79" t="s">
        <v>1527</v>
      </c>
      <c r="AN35" s="84" t="str">
        <f>HYPERLINK("https://t.co/6dPTRt0Vmc")</f>
        <v>https://t.co/6dPTRt0Vmc</v>
      </c>
      <c r="AO35" s="79"/>
      <c r="AP35" s="81">
        <v>39979.230474537035</v>
      </c>
      <c r="AQ35" s="84" t="str">
        <f>HYPERLINK("https://pbs.twimg.com/profile_banners/47268595/1414685849")</f>
        <v>https://pbs.twimg.com/profile_banners/47268595/1414685849</v>
      </c>
      <c r="AR35" s="79" t="b">
        <v>0</v>
      </c>
      <c r="AS35" s="79" t="b">
        <v>0</v>
      </c>
      <c r="AT35" s="79" t="b">
        <v>0</v>
      </c>
      <c r="AU35" s="79"/>
      <c r="AV35" s="79">
        <v>357</v>
      </c>
      <c r="AW35" s="84" t="str">
        <f>HYPERLINK("https://abs.twimg.com/images/themes/theme6/bg.gif")</f>
        <v>https://abs.twimg.com/images/themes/theme6/bg.gif</v>
      </c>
      <c r="AX35" s="79" t="b">
        <v>0</v>
      </c>
      <c r="AY35" s="79" t="s">
        <v>1601</v>
      </c>
      <c r="AZ35" s="84" t="str">
        <f>HYPERLINK("https://twitter.com/robertwiblin")</f>
        <v>https://twitter.com/robertwiblin</v>
      </c>
      <c r="BA35" s="79" t="s">
        <v>66</v>
      </c>
      <c r="BB35" s="79" t="str">
        <f>REPLACE(INDEX(GroupVertices[Group],MATCH(Vertices[[#This Row],[Vertex]],GroupVertices[Vertex],0)),1,1,"")</f>
        <v>15</v>
      </c>
      <c r="BC35" s="49" t="s">
        <v>1891</v>
      </c>
      <c r="BD35" s="49" t="s">
        <v>1891</v>
      </c>
      <c r="BE35" s="49" t="s">
        <v>523</v>
      </c>
      <c r="BF35" s="49" t="s">
        <v>523</v>
      </c>
      <c r="BG35" s="49"/>
      <c r="BH35" s="49"/>
      <c r="BI35" s="108" t="s">
        <v>2046</v>
      </c>
      <c r="BJ35" s="108" t="s">
        <v>2046</v>
      </c>
      <c r="BK35" s="108" t="s">
        <v>2163</v>
      </c>
      <c r="BL35" s="108" t="s">
        <v>2163</v>
      </c>
      <c r="BM35" s="108">
        <v>1</v>
      </c>
      <c r="BN35" s="111">
        <v>3.5714285714285716</v>
      </c>
      <c r="BO35" s="108">
        <v>2</v>
      </c>
      <c r="BP35" s="111">
        <v>7.142857142857143</v>
      </c>
      <c r="BQ35" s="108">
        <v>0</v>
      </c>
      <c r="BR35" s="111">
        <v>0</v>
      </c>
      <c r="BS35" s="108">
        <v>25</v>
      </c>
      <c r="BT35" s="111">
        <v>89.28571428571429</v>
      </c>
      <c r="BU35" s="108">
        <v>28</v>
      </c>
      <c r="BV35" s="2"/>
      <c r="BW35" s="3"/>
      <c r="BX35" s="3"/>
      <c r="BY35" s="3"/>
      <c r="BZ35" s="3"/>
    </row>
    <row r="36" spans="1:78" ht="41.45" customHeight="1">
      <c r="A36" s="65" t="s">
        <v>256</v>
      </c>
      <c r="C36" s="66"/>
      <c r="D36" s="66" t="s">
        <v>64</v>
      </c>
      <c r="E36" s="67">
        <v>162.37688068268707</v>
      </c>
      <c r="F36" s="69"/>
      <c r="G36" s="103" t="str">
        <f>HYPERLINK("https://pbs.twimg.com/profile_images/1246077080028102657/p3hnfpAg_normal.jpg")</f>
        <v>https://pbs.twimg.com/profile_images/1246077080028102657/p3hnfpAg_normal.jpg</v>
      </c>
      <c r="H36" s="66"/>
      <c r="I36" s="70" t="s">
        <v>256</v>
      </c>
      <c r="J36" s="71"/>
      <c r="K36" s="71"/>
      <c r="L36" s="70" t="s">
        <v>1634</v>
      </c>
      <c r="M36" s="74">
        <v>1.288331429270313</v>
      </c>
      <c r="N36" s="75">
        <v>8303.517578125</v>
      </c>
      <c r="O36" s="75">
        <v>6550.39208984375</v>
      </c>
      <c r="P36" s="76"/>
      <c r="Q36" s="77"/>
      <c r="R36" s="77"/>
      <c r="S36" s="89"/>
      <c r="T36" s="49">
        <v>0</v>
      </c>
      <c r="U36" s="49">
        <v>1</v>
      </c>
      <c r="V36" s="50">
        <v>0</v>
      </c>
      <c r="W36" s="50">
        <v>0.333333</v>
      </c>
      <c r="X36" s="50">
        <v>0</v>
      </c>
      <c r="Y36" s="50">
        <v>0.638296</v>
      </c>
      <c r="Z36" s="50">
        <v>0</v>
      </c>
      <c r="AA36" s="50">
        <v>0</v>
      </c>
      <c r="AB36" s="72">
        <v>36</v>
      </c>
      <c r="AC36" s="72"/>
      <c r="AD36" s="73"/>
      <c r="AE36" s="79" t="s">
        <v>1049</v>
      </c>
      <c r="AF36" s="88" t="s">
        <v>1211</v>
      </c>
      <c r="AG36" s="79">
        <v>104</v>
      </c>
      <c r="AH36" s="79">
        <v>747</v>
      </c>
      <c r="AI36" s="79">
        <v>2062</v>
      </c>
      <c r="AJ36" s="79">
        <v>4011</v>
      </c>
      <c r="AK36" s="79"/>
      <c r="AL36" s="79" t="s">
        <v>1371</v>
      </c>
      <c r="AM36" s="79" t="s">
        <v>1528</v>
      </c>
      <c r="AN36" s="84" t="str">
        <f>HYPERLINK("https://t.co/B5yRkBigbl")</f>
        <v>https://t.co/B5yRkBigbl</v>
      </c>
      <c r="AO36" s="79"/>
      <c r="AP36" s="81">
        <v>43087.37804398148</v>
      </c>
      <c r="AQ36" s="84" t="str">
        <f>HYPERLINK("https://pbs.twimg.com/profile_banners/942681942100672512/1529920948")</f>
        <v>https://pbs.twimg.com/profile_banners/942681942100672512/1529920948</v>
      </c>
      <c r="AR36" s="79" t="b">
        <v>0</v>
      </c>
      <c r="AS36" s="79" t="b">
        <v>0</v>
      </c>
      <c r="AT36" s="79" t="b">
        <v>0</v>
      </c>
      <c r="AU36" s="79"/>
      <c r="AV36" s="79">
        <v>10</v>
      </c>
      <c r="AW36" s="84" t="str">
        <f>HYPERLINK("https://abs.twimg.com/images/themes/theme1/bg.png")</f>
        <v>https://abs.twimg.com/images/themes/theme1/bg.png</v>
      </c>
      <c r="AX36" s="79" t="b">
        <v>0</v>
      </c>
      <c r="AY36" s="79" t="s">
        <v>1601</v>
      </c>
      <c r="AZ36" s="84" t="str">
        <f>HYPERLINK("https://twitter.com/simonfriederich")</f>
        <v>https://twitter.com/simonfriederich</v>
      </c>
      <c r="BA36" s="79" t="s">
        <v>66</v>
      </c>
      <c r="BB36" s="79" t="str">
        <f>REPLACE(INDEX(GroupVertices[Group],MATCH(Vertices[[#This Row],[Vertex]],GroupVertices[Vertex],0)),1,1,"")</f>
        <v>15</v>
      </c>
      <c r="BC36" s="49" t="s">
        <v>1891</v>
      </c>
      <c r="BD36" s="49" t="s">
        <v>1891</v>
      </c>
      <c r="BE36" s="49" t="s">
        <v>523</v>
      </c>
      <c r="BF36" s="49" t="s">
        <v>523</v>
      </c>
      <c r="BG36" s="49"/>
      <c r="BH36" s="49"/>
      <c r="BI36" s="108" t="s">
        <v>2046</v>
      </c>
      <c r="BJ36" s="108" t="s">
        <v>2046</v>
      </c>
      <c r="BK36" s="108" t="s">
        <v>2163</v>
      </c>
      <c r="BL36" s="108" t="s">
        <v>2163</v>
      </c>
      <c r="BM36" s="108">
        <v>1</v>
      </c>
      <c r="BN36" s="111">
        <v>3.5714285714285716</v>
      </c>
      <c r="BO36" s="108">
        <v>2</v>
      </c>
      <c r="BP36" s="111">
        <v>7.142857142857143</v>
      </c>
      <c r="BQ36" s="108">
        <v>0</v>
      </c>
      <c r="BR36" s="111">
        <v>0</v>
      </c>
      <c r="BS36" s="108">
        <v>25</v>
      </c>
      <c r="BT36" s="111">
        <v>89.28571428571429</v>
      </c>
      <c r="BU36" s="108">
        <v>28</v>
      </c>
      <c r="BV36" s="2"/>
      <c r="BW36" s="3"/>
      <c r="BX36" s="3"/>
      <c r="BY36" s="3"/>
      <c r="BZ36" s="3"/>
    </row>
    <row r="37" spans="1:78" ht="41.45" customHeight="1">
      <c r="A37" s="65" t="s">
        <v>257</v>
      </c>
      <c r="C37" s="66"/>
      <c r="D37" s="66" t="s">
        <v>64</v>
      </c>
      <c r="E37" s="67">
        <v>162.7007861690125</v>
      </c>
      <c r="F37" s="69"/>
      <c r="G37" s="103" t="str">
        <f>HYPERLINK("https://pbs.twimg.com/profile_images/930182223554154496/VFXs_YZI_normal.jpg")</f>
        <v>https://pbs.twimg.com/profile_images/930182223554154496/VFXs_YZI_normal.jpg</v>
      </c>
      <c r="H37" s="66"/>
      <c r="I37" s="70" t="s">
        <v>257</v>
      </c>
      <c r="J37" s="71"/>
      <c r="K37" s="71"/>
      <c r="L37" s="70" t="s">
        <v>1635</v>
      </c>
      <c r="M37" s="74">
        <v>1.5361343443861644</v>
      </c>
      <c r="N37" s="75">
        <v>7383.5029296875</v>
      </c>
      <c r="O37" s="75">
        <v>8062.4775390625</v>
      </c>
      <c r="P37" s="76"/>
      <c r="Q37" s="77"/>
      <c r="R37" s="77"/>
      <c r="S37" s="89"/>
      <c r="T37" s="49">
        <v>0</v>
      </c>
      <c r="U37" s="49">
        <v>3</v>
      </c>
      <c r="V37" s="50">
        <v>12</v>
      </c>
      <c r="W37" s="50">
        <v>0.090909</v>
      </c>
      <c r="X37" s="50">
        <v>0</v>
      </c>
      <c r="Y37" s="50">
        <v>1.278715</v>
      </c>
      <c r="Z37" s="50">
        <v>0.16666666666666666</v>
      </c>
      <c r="AA37" s="50">
        <v>0</v>
      </c>
      <c r="AB37" s="72">
        <v>37</v>
      </c>
      <c r="AC37" s="72"/>
      <c r="AD37" s="73"/>
      <c r="AE37" s="79" t="s">
        <v>1050</v>
      </c>
      <c r="AF37" s="88" t="s">
        <v>1212</v>
      </c>
      <c r="AG37" s="79">
        <v>1312</v>
      </c>
      <c r="AH37" s="79">
        <v>1389</v>
      </c>
      <c r="AI37" s="79">
        <v>2596</v>
      </c>
      <c r="AJ37" s="79">
        <v>566</v>
      </c>
      <c r="AK37" s="79"/>
      <c r="AL37" s="79" t="s">
        <v>1372</v>
      </c>
      <c r="AM37" s="79"/>
      <c r="AN37" s="84" t="str">
        <f>HYPERLINK("https://t.co/FVLwMoQ5DG")</f>
        <v>https://t.co/FVLwMoQ5DG</v>
      </c>
      <c r="AO37" s="79"/>
      <c r="AP37" s="81">
        <v>43004.95543981482</v>
      </c>
      <c r="AQ37" s="84" t="str">
        <f>HYPERLINK("https://pbs.twimg.com/profile_banners/912812990134501376/1510607870")</f>
        <v>https://pbs.twimg.com/profile_banners/912812990134501376/1510607870</v>
      </c>
      <c r="AR37" s="79" t="b">
        <v>1</v>
      </c>
      <c r="AS37" s="79" t="b">
        <v>0</v>
      </c>
      <c r="AT37" s="79" t="b">
        <v>0</v>
      </c>
      <c r="AU37" s="79"/>
      <c r="AV37" s="79">
        <v>33</v>
      </c>
      <c r="AW37" s="79"/>
      <c r="AX37" s="79" t="b">
        <v>0</v>
      </c>
      <c r="AY37" s="79" t="s">
        <v>1601</v>
      </c>
      <c r="AZ37" s="84" t="str">
        <f>HYPERLINK("https://twitter.com/joyancepartners")</f>
        <v>https://twitter.com/joyancepartners</v>
      </c>
      <c r="BA37" s="79" t="s">
        <v>66</v>
      </c>
      <c r="BB37" s="79" t="str">
        <f>REPLACE(INDEX(GroupVertices[Group],MATCH(Vertices[[#This Row],[Vertex]],GroupVertices[Vertex],0)),1,1,"")</f>
        <v>5</v>
      </c>
      <c r="BC37" s="49" t="s">
        <v>1864</v>
      </c>
      <c r="BD37" s="49" t="s">
        <v>1864</v>
      </c>
      <c r="BE37" s="49" t="s">
        <v>524</v>
      </c>
      <c r="BF37" s="49" t="s">
        <v>524</v>
      </c>
      <c r="BG37" s="49"/>
      <c r="BH37" s="49"/>
      <c r="BI37" s="108" t="s">
        <v>2292</v>
      </c>
      <c r="BJ37" s="108" t="s">
        <v>2341</v>
      </c>
      <c r="BK37" s="108" t="s">
        <v>2368</v>
      </c>
      <c r="BL37" s="108" t="s">
        <v>2408</v>
      </c>
      <c r="BM37" s="108">
        <v>2</v>
      </c>
      <c r="BN37" s="111">
        <v>2.4691358024691357</v>
      </c>
      <c r="BO37" s="108">
        <v>3</v>
      </c>
      <c r="BP37" s="111">
        <v>3.7037037037037037</v>
      </c>
      <c r="BQ37" s="108">
        <v>0</v>
      </c>
      <c r="BR37" s="111">
        <v>0</v>
      </c>
      <c r="BS37" s="108">
        <v>76</v>
      </c>
      <c r="BT37" s="111">
        <v>93.82716049382717</v>
      </c>
      <c r="BU37" s="108">
        <v>81</v>
      </c>
      <c r="BV37" s="2"/>
      <c r="BW37" s="3"/>
      <c r="BX37" s="3"/>
      <c r="BY37" s="3"/>
      <c r="BZ37" s="3"/>
    </row>
    <row r="38" spans="1:78" ht="41.45" customHeight="1">
      <c r="A38" s="65" t="s">
        <v>375</v>
      </c>
      <c r="C38" s="66"/>
      <c r="D38" s="66" t="s">
        <v>64</v>
      </c>
      <c r="E38" s="67">
        <v>162.49594874308085</v>
      </c>
      <c r="F38" s="69"/>
      <c r="G38" s="103" t="str">
        <f>HYPERLINK("https://pbs.twimg.com/profile_images/1024676759218937856/QVkeacr5_normal.jpg")</f>
        <v>https://pbs.twimg.com/profile_images/1024676759218937856/QVkeacr5_normal.jpg</v>
      </c>
      <c r="H38" s="66"/>
      <c r="I38" s="70" t="s">
        <v>375</v>
      </c>
      <c r="J38" s="71"/>
      <c r="K38" s="71"/>
      <c r="L38" s="70" t="s">
        <v>1636</v>
      </c>
      <c r="M38" s="74">
        <v>1.3794240896555792</v>
      </c>
      <c r="N38" s="75">
        <v>7057.26513671875</v>
      </c>
      <c r="O38" s="75">
        <v>7564.6884765625</v>
      </c>
      <c r="P38" s="76"/>
      <c r="Q38" s="77"/>
      <c r="R38" s="77"/>
      <c r="S38" s="89"/>
      <c r="T38" s="49">
        <v>1</v>
      </c>
      <c r="U38" s="49">
        <v>0</v>
      </c>
      <c r="V38" s="50">
        <v>0</v>
      </c>
      <c r="W38" s="50">
        <v>0.058824</v>
      </c>
      <c r="X38" s="50">
        <v>0</v>
      </c>
      <c r="Y38" s="50">
        <v>0.512302</v>
      </c>
      <c r="Z38" s="50">
        <v>0</v>
      </c>
      <c r="AA38" s="50">
        <v>0</v>
      </c>
      <c r="AB38" s="72">
        <v>38</v>
      </c>
      <c r="AC38" s="72"/>
      <c r="AD38" s="73"/>
      <c r="AE38" s="79" t="s">
        <v>1051</v>
      </c>
      <c r="AF38" s="88" t="s">
        <v>1213</v>
      </c>
      <c r="AG38" s="79">
        <v>64</v>
      </c>
      <c r="AH38" s="79">
        <v>983</v>
      </c>
      <c r="AI38" s="79">
        <v>164</v>
      </c>
      <c r="AJ38" s="79">
        <v>16</v>
      </c>
      <c r="AK38" s="79"/>
      <c r="AL38" s="79" t="s">
        <v>1373</v>
      </c>
      <c r="AM38" s="79"/>
      <c r="AN38" s="84" t="str">
        <f>HYPERLINK("https://t.co/7QUxRFdc6u")</f>
        <v>https://t.co/7QUxRFdc6u</v>
      </c>
      <c r="AO38" s="79"/>
      <c r="AP38" s="81">
        <v>43312.497928240744</v>
      </c>
      <c r="AQ38" s="84" t="str">
        <f>HYPERLINK("https://pbs.twimg.com/profile_banners/1024262656214085632/1533136714")</f>
        <v>https://pbs.twimg.com/profile_banners/1024262656214085632/1533136714</v>
      </c>
      <c r="AR38" s="79" t="b">
        <v>1</v>
      </c>
      <c r="AS38" s="79" t="b">
        <v>0</v>
      </c>
      <c r="AT38" s="79" t="b">
        <v>0</v>
      </c>
      <c r="AU38" s="79"/>
      <c r="AV38" s="79">
        <v>35</v>
      </c>
      <c r="AW38" s="79"/>
      <c r="AX38" s="79" t="b">
        <v>0</v>
      </c>
      <c r="AY38" s="79" t="s">
        <v>1601</v>
      </c>
      <c r="AZ38" s="84" t="str">
        <f>HYPERLINK("https://twitter.com/vegconomist")</f>
        <v>https://twitter.com/vegconomist</v>
      </c>
      <c r="BA38" s="79" t="s">
        <v>65</v>
      </c>
      <c r="BB38" s="79" t="str">
        <f>REPLACE(INDEX(GroupVertices[Group],MATCH(Vertices[[#This Row],[Vertex]],GroupVertices[Vertex],0)),1,1,"")</f>
        <v>5</v>
      </c>
      <c r="BC38" s="49"/>
      <c r="BD38" s="49"/>
      <c r="BE38" s="49"/>
      <c r="BF38" s="49"/>
      <c r="BG38" s="49"/>
      <c r="BH38" s="49"/>
      <c r="BI38" s="49"/>
      <c r="BJ38" s="49"/>
      <c r="BK38" s="49"/>
      <c r="BL38" s="49"/>
      <c r="BM38" s="49"/>
      <c r="BN38" s="50"/>
      <c r="BO38" s="49"/>
      <c r="BP38" s="50"/>
      <c r="BQ38" s="49"/>
      <c r="BR38" s="50"/>
      <c r="BS38" s="49"/>
      <c r="BT38" s="50"/>
      <c r="BU38" s="49"/>
      <c r="BV38" s="2"/>
      <c r="BW38" s="3"/>
      <c r="BX38" s="3"/>
      <c r="BY38" s="3"/>
      <c r="BZ38" s="3"/>
    </row>
    <row r="39" spans="1:78" ht="41.45" customHeight="1">
      <c r="A39" s="65" t="s">
        <v>376</v>
      </c>
      <c r="C39" s="66"/>
      <c r="D39" s="66" t="s">
        <v>64</v>
      </c>
      <c r="E39" s="67">
        <v>162.14025813893844</v>
      </c>
      <c r="F39" s="69"/>
      <c r="G39" s="103" t="str">
        <f>HYPERLINK("https://pbs.twimg.com/profile_images/1180174284716572672/wHEtqXkN_normal.jpg")</f>
        <v>https://pbs.twimg.com/profile_images/1180174284716572672/wHEtqXkN_normal.jpg</v>
      </c>
      <c r="H39" s="66"/>
      <c r="I39" s="70" t="s">
        <v>376</v>
      </c>
      <c r="J39" s="71"/>
      <c r="K39" s="71"/>
      <c r="L39" s="70" t="s">
        <v>1637</v>
      </c>
      <c r="M39" s="74">
        <v>1.107304066047051</v>
      </c>
      <c r="N39" s="75">
        <v>7173.83251953125</v>
      </c>
      <c r="O39" s="75">
        <v>8467.908203125</v>
      </c>
      <c r="P39" s="76"/>
      <c r="Q39" s="77"/>
      <c r="R39" s="77"/>
      <c r="S39" s="89"/>
      <c r="T39" s="49">
        <v>2</v>
      </c>
      <c r="U39" s="49">
        <v>0</v>
      </c>
      <c r="V39" s="50">
        <v>0</v>
      </c>
      <c r="W39" s="50">
        <v>0.083333</v>
      </c>
      <c r="X39" s="50">
        <v>0</v>
      </c>
      <c r="Y39" s="50">
        <v>0.846008</v>
      </c>
      <c r="Z39" s="50">
        <v>0.5</v>
      </c>
      <c r="AA39" s="50">
        <v>0</v>
      </c>
      <c r="AB39" s="72">
        <v>39</v>
      </c>
      <c r="AC39" s="72"/>
      <c r="AD39" s="73"/>
      <c r="AE39" s="79" t="s">
        <v>1052</v>
      </c>
      <c r="AF39" s="88" t="s">
        <v>1214</v>
      </c>
      <c r="AG39" s="79">
        <v>0</v>
      </c>
      <c r="AH39" s="79">
        <v>278</v>
      </c>
      <c r="AI39" s="79">
        <v>11</v>
      </c>
      <c r="AJ39" s="79">
        <v>38</v>
      </c>
      <c r="AK39" s="79"/>
      <c r="AL39" s="79" t="s">
        <v>1374</v>
      </c>
      <c r="AM39" s="79" t="s">
        <v>1529</v>
      </c>
      <c r="AN39" s="84" t="str">
        <f>HYPERLINK("https://t.co/akKgawCoCq")</f>
        <v>https://t.co/akKgawCoCq</v>
      </c>
      <c r="AO39" s="79"/>
      <c r="AP39" s="81">
        <v>43202.899930555555</v>
      </c>
      <c r="AQ39" s="84" t="str">
        <f>HYPERLINK("https://pbs.twimg.com/profile_banners/984545671352143872/1591863324")</f>
        <v>https://pbs.twimg.com/profile_banners/984545671352143872/1591863324</v>
      </c>
      <c r="AR39" s="79" t="b">
        <v>1</v>
      </c>
      <c r="AS39" s="79" t="b">
        <v>0</v>
      </c>
      <c r="AT39" s="79" t="b">
        <v>0</v>
      </c>
      <c r="AU39" s="79"/>
      <c r="AV39" s="79">
        <v>16</v>
      </c>
      <c r="AW39" s="79"/>
      <c r="AX39" s="79" t="b">
        <v>0</v>
      </c>
      <c r="AY39" s="79" t="s">
        <v>1601</v>
      </c>
      <c r="AZ39" s="84" t="str">
        <f>HYPERLINK("https://twitter.com/missionbarns")</f>
        <v>https://twitter.com/missionbarns</v>
      </c>
      <c r="BA39" s="79" t="s">
        <v>65</v>
      </c>
      <c r="BB39" s="79" t="str">
        <f>REPLACE(INDEX(GroupVertices[Group],MATCH(Vertices[[#This Row],[Vertex]],GroupVertices[Vertex],0)),1,1,"")</f>
        <v>5</v>
      </c>
      <c r="BC39" s="49"/>
      <c r="BD39" s="49"/>
      <c r="BE39" s="49"/>
      <c r="BF39" s="49"/>
      <c r="BG39" s="49"/>
      <c r="BH39" s="49"/>
      <c r="BI39" s="49"/>
      <c r="BJ39" s="49"/>
      <c r="BK39" s="49"/>
      <c r="BL39" s="49"/>
      <c r="BM39" s="49"/>
      <c r="BN39" s="50"/>
      <c r="BO39" s="49"/>
      <c r="BP39" s="50"/>
      <c r="BQ39" s="49"/>
      <c r="BR39" s="50"/>
      <c r="BS39" s="49"/>
      <c r="BT39" s="50"/>
      <c r="BU39" s="49"/>
      <c r="BV39" s="2"/>
      <c r="BW39" s="3"/>
      <c r="BX39" s="3"/>
      <c r="BY39" s="3"/>
      <c r="BZ39" s="3"/>
    </row>
    <row r="40" spans="1:78" ht="41.45" customHeight="1">
      <c r="A40" s="65" t="s">
        <v>259</v>
      </c>
      <c r="C40" s="66"/>
      <c r="D40" s="66" t="s">
        <v>64</v>
      </c>
      <c r="E40" s="67">
        <v>162.65487433216575</v>
      </c>
      <c r="F40" s="69"/>
      <c r="G40" s="103" t="str">
        <f>HYPERLINK("https://pbs.twimg.com/profile_images/1442094860719165442/z9LBrjyn_normal.jpg")</f>
        <v>https://pbs.twimg.com/profile_images/1442094860719165442/z9LBrjyn_normal.jpg</v>
      </c>
      <c r="H40" s="66"/>
      <c r="I40" s="70" t="s">
        <v>259</v>
      </c>
      <c r="J40" s="71"/>
      <c r="K40" s="71"/>
      <c r="L40" s="70" t="s">
        <v>1638</v>
      </c>
      <c r="M40" s="74">
        <v>1.501009632118964</v>
      </c>
      <c r="N40" s="75">
        <v>3947.5478515625</v>
      </c>
      <c r="O40" s="75">
        <v>9213.73828125</v>
      </c>
      <c r="P40" s="76"/>
      <c r="Q40" s="77"/>
      <c r="R40" s="77"/>
      <c r="S40" s="89"/>
      <c r="T40" s="49">
        <v>0</v>
      </c>
      <c r="U40" s="49">
        <v>1</v>
      </c>
      <c r="V40" s="50">
        <v>0</v>
      </c>
      <c r="W40" s="50">
        <v>0.004608</v>
      </c>
      <c r="X40" s="50">
        <v>5.1E-05</v>
      </c>
      <c r="Y40" s="50">
        <v>0.436883</v>
      </c>
      <c r="Z40" s="50">
        <v>0</v>
      </c>
      <c r="AA40" s="50">
        <v>0</v>
      </c>
      <c r="AB40" s="72">
        <v>40</v>
      </c>
      <c r="AC40" s="72"/>
      <c r="AD40" s="73"/>
      <c r="AE40" s="79" t="s">
        <v>1053</v>
      </c>
      <c r="AF40" s="88" t="s">
        <v>1215</v>
      </c>
      <c r="AG40" s="79">
        <v>177</v>
      </c>
      <c r="AH40" s="79">
        <v>1298</v>
      </c>
      <c r="AI40" s="79">
        <v>1887</v>
      </c>
      <c r="AJ40" s="79">
        <v>8508</v>
      </c>
      <c r="AK40" s="79"/>
      <c r="AL40" s="79" t="s">
        <v>1375</v>
      </c>
      <c r="AM40" s="79" t="s">
        <v>1530</v>
      </c>
      <c r="AN40" s="84" t="str">
        <f>HYPERLINK("https://t.co/hCoBXN4w7e")</f>
        <v>https://t.co/hCoBXN4w7e</v>
      </c>
      <c r="AO40" s="79"/>
      <c r="AP40" s="81">
        <v>40679.551724537036</v>
      </c>
      <c r="AQ40" s="84" t="str">
        <f>HYPERLINK("https://pbs.twimg.com/profile_banners/299645192/1632657914")</f>
        <v>https://pbs.twimg.com/profile_banners/299645192/1632657914</v>
      </c>
      <c r="AR40" s="79" t="b">
        <v>0</v>
      </c>
      <c r="AS40" s="79" t="b">
        <v>0</v>
      </c>
      <c r="AT40" s="79" t="b">
        <v>1</v>
      </c>
      <c r="AU40" s="79"/>
      <c r="AV40" s="79">
        <v>32</v>
      </c>
      <c r="AW40" s="84" t="str">
        <f>HYPERLINK("https://abs.twimg.com/images/themes/theme1/bg.png")</f>
        <v>https://abs.twimg.com/images/themes/theme1/bg.png</v>
      </c>
      <c r="AX40" s="79" t="b">
        <v>0</v>
      </c>
      <c r="AY40" s="79" t="s">
        <v>1601</v>
      </c>
      <c r="AZ40" s="84" t="str">
        <f>HYPERLINK("https://twitter.com/profjbmatthews")</f>
        <v>https://twitter.com/profjbmatthews</v>
      </c>
      <c r="BA40" s="79" t="s">
        <v>66</v>
      </c>
      <c r="BB40" s="79" t="str">
        <f>REPLACE(INDEX(GroupVertices[Group],MATCH(Vertices[[#This Row],[Vertex]],GroupVertices[Vertex],0)),1,1,"")</f>
        <v>3</v>
      </c>
      <c r="BC40" s="49" t="s">
        <v>1850</v>
      </c>
      <c r="BD40" s="49" t="s">
        <v>1850</v>
      </c>
      <c r="BE40" s="49" t="s">
        <v>525</v>
      </c>
      <c r="BF40" s="49" t="s">
        <v>525</v>
      </c>
      <c r="BG40" s="49" t="s">
        <v>552</v>
      </c>
      <c r="BH40" s="49" t="s">
        <v>552</v>
      </c>
      <c r="BI40" s="108" t="s">
        <v>2293</v>
      </c>
      <c r="BJ40" s="108" t="s">
        <v>2293</v>
      </c>
      <c r="BK40" s="108" t="s">
        <v>2369</v>
      </c>
      <c r="BL40" s="108" t="s">
        <v>2369</v>
      </c>
      <c r="BM40" s="108">
        <v>0</v>
      </c>
      <c r="BN40" s="111">
        <v>0</v>
      </c>
      <c r="BO40" s="108">
        <v>0</v>
      </c>
      <c r="BP40" s="111">
        <v>0</v>
      </c>
      <c r="BQ40" s="108">
        <v>0</v>
      </c>
      <c r="BR40" s="111">
        <v>0</v>
      </c>
      <c r="BS40" s="108">
        <v>38</v>
      </c>
      <c r="BT40" s="111">
        <v>100</v>
      </c>
      <c r="BU40" s="108">
        <v>38</v>
      </c>
      <c r="BV40" s="2"/>
      <c r="BW40" s="3"/>
      <c r="BX40" s="3"/>
      <c r="BY40" s="3"/>
      <c r="BZ40" s="3"/>
    </row>
    <row r="41" spans="1:78" ht="41.45" customHeight="1">
      <c r="A41" s="65" t="s">
        <v>346</v>
      </c>
      <c r="C41" s="66"/>
      <c r="D41" s="66" t="s">
        <v>64</v>
      </c>
      <c r="E41" s="67">
        <v>162.43893734128213</v>
      </c>
      <c r="F41" s="69"/>
      <c r="G41" s="103" t="str">
        <f>HYPERLINK("https://pbs.twimg.com/profile_images/1027550970333614080/c2BHjENS_normal.jpg")</f>
        <v>https://pbs.twimg.com/profile_images/1027550970333614080/c2BHjENS_normal.jpg</v>
      </c>
      <c r="H41" s="66"/>
      <c r="I41" s="70" t="s">
        <v>346</v>
      </c>
      <c r="J41" s="71"/>
      <c r="K41" s="71"/>
      <c r="L41" s="70" t="s">
        <v>1639</v>
      </c>
      <c r="M41" s="74">
        <v>1.3358076887083967</v>
      </c>
      <c r="N41" s="75">
        <v>4084.0419921875</v>
      </c>
      <c r="O41" s="75">
        <v>8162.86328125</v>
      </c>
      <c r="P41" s="76"/>
      <c r="Q41" s="77"/>
      <c r="R41" s="77"/>
      <c r="S41" s="89"/>
      <c r="T41" s="49">
        <v>3</v>
      </c>
      <c r="U41" s="49">
        <v>1</v>
      </c>
      <c r="V41" s="50">
        <v>112</v>
      </c>
      <c r="W41" s="50">
        <v>0.006211</v>
      </c>
      <c r="X41" s="50">
        <v>0.00062</v>
      </c>
      <c r="Y41" s="50">
        <v>1.012528</v>
      </c>
      <c r="Z41" s="50">
        <v>0</v>
      </c>
      <c r="AA41" s="50">
        <v>0</v>
      </c>
      <c r="AB41" s="72">
        <v>41</v>
      </c>
      <c r="AC41" s="72"/>
      <c r="AD41" s="73"/>
      <c r="AE41" s="79" t="s">
        <v>1054</v>
      </c>
      <c r="AF41" s="88" t="s">
        <v>1216</v>
      </c>
      <c r="AG41" s="79">
        <v>799</v>
      </c>
      <c r="AH41" s="79">
        <v>870</v>
      </c>
      <c r="AI41" s="79">
        <v>486</v>
      </c>
      <c r="AJ41" s="79">
        <v>583</v>
      </c>
      <c r="AK41" s="79"/>
      <c r="AL41" s="79" t="s">
        <v>1376</v>
      </c>
      <c r="AM41" s="79" t="s">
        <v>1531</v>
      </c>
      <c r="AN41" s="84" t="str">
        <f>HYPERLINK("https://t.co/hZz1UaLekm")</f>
        <v>https://t.co/hZz1UaLekm</v>
      </c>
      <c r="AO41" s="79"/>
      <c r="AP41" s="81">
        <v>43321.54184027778</v>
      </c>
      <c r="AQ41" s="84" t="str">
        <f>HYPERLINK("https://pbs.twimg.com/profile_banners/1027540059522772993/1632228305")</f>
        <v>https://pbs.twimg.com/profile_banners/1027540059522772993/1632228305</v>
      </c>
      <c r="AR41" s="79" t="b">
        <v>0</v>
      </c>
      <c r="AS41" s="79" t="b">
        <v>0</v>
      </c>
      <c r="AT41" s="79" t="b">
        <v>0</v>
      </c>
      <c r="AU41" s="79"/>
      <c r="AV41" s="79">
        <v>4</v>
      </c>
      <c r="AW41" s="84" t="str">
        <f>HYPERLINK("https://abs.twimg.com/images/themes/theme1/bg.png")</f>
        <v>https://abs.twimg.com/images/themes/theme1/bg.png</v>
      </c>
      <c r="AX41" s="79" t="b">
        <v>0</v>
      </c>
      <c r="AY41" s="79" t="s">
        <v>1601</v>
      </c>
      <c r="AZ41" s="84" t="str">
        <f>HYPERLINK("https://twitter.com/roslintech")</f>
        <v>https://twitter.com/roslintech</v>
      </c>
      <c r="BA41" s="79" t="s">
        <v>66</v>
      </c>
      <c r="BB41" s="79" t="str">
        <f>REPLACE(INDEX(GroupVertices[Group],MATCH(Vertices[[#This Row],[Vertex]],GroupVertices[Vertex],0)),1,1,"")</f>
        <v>3</v>
      </c>
      <c r="BC41" s="49" t="s">
        <v>1850</v>
      </c>
      <c r="BD41" s="49" t="s">
        <v>1850</v>
      </c>
      <c r="BE41" s="49" t="s">
        <v>525</v>
      </c>
      <c r="BF41" s="49" t="s">
        <v>525</v>
      </c>
      <c r="BG41" s="49" t="s">
        <v>552</v>
      </c>
      <c r="BH41" s="49" t="s">
        <v>552</v>
      </c>
      <c r="BI41" s="108" t="s">
        <v>2293</v>
      </c>
      <c r="BJ41" s="108" t="s">
        <v>2293</v>
      </c>
      <c r="BK41" s="108" t="s">
        <v>2369</v>
      </c>
      <c r="BL41" s="108" t="s">
        <v>2369</v>
      </c>
      <c r="BM41" s="108">
        <v>0</v>
      </c>
      <c r="BN41" s="111">
        <v>0</v>
      </c>
      <c r="BO41" s="108">
        <v>0</v>
      </c>
      <c r="BP41" s="111">
        <v>0</v>
      </c>
      <c r="BQ41" s="108">
        <v>0</v>
      </c>
      <c r="BR41" s="111">
        <v>0</v>
      </c>
      <c r="BS41" s="108">
        <v>38</v>
      </c>
      <c r="BT41" s="111">
        <v>100</v>
      </c>
      <c r="BU41" s="108">
        <v>38</v>
      </c>
      <c r="BV41" s="2"/>
      <c r="BW41" s="3"/>
      <c r="BX41" s="3"/>
      <c r="BY41" s="3"/>
      <c r="BZ41" s="3"/>
    </row>
    <row r="42" spans="1:78" ht="41.45" customHeight="1">
      <c r="A42" s="65" t="s">
        <v>260</v>
      </c>
      <c r="C42" s="66"/>
      <c r="D42" s="66" t="s">
        <v>64</v>
      </c>
      <c r="E42" s="67">
        <v>163.61296859779188</v>
      </c>
      <c r="F42" s="69"/>
      <c r="G42" s="103" t="str">
        <f>HYPERLINK("https://pbs.twimg.com/profile_images/453890066717220864/jE_H-2Pu_normal.jpeg")</f>
        <v>https://pbs.twimg.com/profile_images/453890066717220864/jE_H-2Pu_normal.jpeg</v>
      </c>
      <c r="H42" s="66"/>
      <c r="I42" s="70" t="s">
        <v>260</v>
      </c>
      <c r="J42" s="71"/>
      <c r="K42" s="71"/>
      <c r="L42" s="70" t="s">
        <v>1640</v>
      </c>
      <c r="M42" s="74">
        <v>2.2339967595410855</v>
      </c>
      <c r="N42" s="75">
        <v>2066.218505859375</v>
      </c>
      <c r="O42" s="75">
        <v>1864.9967041015625</v>
      </c>
      <c r="P42" s="76"/>
      <c r="Q42" s="77"/>
      <c r="R42" s="77"/>
      <c r="S42" s="89"/>
      <c r="T42" s="49">
        <v>1</v>
      </c>
      <c r="U42" s="49">
        <v>1</v>
      </c>
      <c r="V42" s="50">
        <v>0</v>
      </c>
      <c r="W42" s="50">
        <v>0</v>
      </c>
      <c r="X42" s="50">
        <v>0</v>
      </c>
      <c r="Y42" s="50">
        <v>0.999997</v>
      </c>
      <c r="Z42" s="50">
        <v>0</v>
      </c>
      <c r="AA42" s="50">
        <v>0</v>
      </c>
      <c r="AB42" s="72">
        <v>42</v>
      </c>
      <c r="AC42" s="72"/>
      <c r="AD42" s="73"/>
      <c r="AE42" s="79" t="s">
        <v>1055</v>
      </c>
      <c r="AF42" s="88" t="s">
        <v>1217</v>
      </c>
      <c r="AG42" s="79">
        <v>2268</v>
      </c>
      <c r="AH42" s="79">
        <v>3197</v>
      </c>
      <c r="AI42" s="79">
        <v>47679</v>
      </c>
      <c r="AJ42" s="79">
        <v>315</v>
      </c>
      <c r="AK42" s="79"/>
      <c r="AL42" s="79" t="s">
        <v>1377</v>
      </c>
      <c r="AM42" s="79" t="s">
        <v>1522</v>
      </c>
      <c r="AN42" s="84" t="str">
        <f>HYPERLINK("http://t.co/qNr1QTYVOu")</f>
        <v>http://t.co/qNr1QTYVOu</v>
      </c>
      <c r="AO42" s="79"/>
      <c r="AP42" s="81">
        <v>39898.89079861111</v>
      </c>
      <c r="AQ42" s="84" t="str">
        <f>HYPERLINK("https://pbs.twimg.com/profile_banners/26855173/1399730919")</f>
        <v>https://pbs.twimg.com/profile_banners/26855173/1399730919</v>
      </c>
      <c r="AR42" s="79" t="b">
        <v>0</v>
      </c>
      <c r="AS42" s="79" t="b">
        <v>0</v>
      </c>
      <c r="AT42" s="79" t="b">
        <v>0</v>
      </c>
      <c r="AU42" s="79"/>
      <c r="AV42" s="79">
        <v>60</v>
      </c>
      <c r="AW42" s="84" t="str">
        <f>HYPERLINK("https://abs.twimg.com/images/themes/theme10/bg.gif")</f>
        <v>https://abs.twimg.com/images/themes/theme10/bg.gif</v>
      </c>
      <c r="AX42" s="79" t="b">
        <v>0</v>
      </c>
      <c r="AY42" s="79" t="s">
        <v>1601</v>
      </c>
      <c r="AZ42" s="84" t="str">
        <f>HYPERLINK("https://twitter.com/positiveradio")</f>
        <v>https://twitter.com/positiveradio</v>
      </c>
      <c r="BA42" s="79" t="s">
        <v>66</v>
      </c>
      <c r="BB42" s="79" t="str">
        <f>REPLACE(INDEX(GroupVertices[Group],MATCH(Vertices[[#This Row],[Vertex]],GroupVertices[Vertex],0)),1,1,"")</f>
        <v>2</v>
      </c>
      <c r="BC42" s="49" t="s">
        <v>2243</v>
      </c>
      <c r="BD42" s="49" t="s">
        <v>2243</v>
      </c>
      <c r="BE42" s="49" t="s">
        <v>2262</v>
      </c>
      <c r="BF42" s="49" t="s">
        <v>2262</v>
      </c>
      <c r="BG42" s="49"/>
      <c r="BH42" s="49"/>
      <c r="BI42" s="108" t="s">
        <v>2294</v>
      </c>
      <c r="BJ42" s="108" t="s">
        <v>2342</v>
      </c>
      <c r="BK42" s="108" t="s">
        <v>2370</v>
      </c>
      <c r="BL42" s="108" t="s">
        <v>2409</v>
      </c>
      <c r="BM42" s="108">
        <v>0</v>
      </c>
      <c r="BN42" s="111">
        <v>0</v>
      </c>
      <c r="BO42" s="108">
        <v>4</v>
      </c>
      <c r="BP42" s="111">
        <v>6.451612903225806</v>
      </c>
      <c r="BQ42" s="108">
        <v>0</v>
      </c>
      <c r="BR42" s="111">
        <v>0</v>
      </c>
      <c r="BS42" s="108">
        <v>58</v>
      </c>
      <c r="BT42" s="111">
        <v>93.54838709677419</v>
      </c>
      <c r="BU42" s="108">
        <v>62</v>
      </c>
      <c r="BV42" s="2"/>
      <c r="BW42" s="3"/>
      <c r="BX42" s="3"/>
      <c r="BY42" s="3"/>
      <c r="BZ42" s="3"/>
    </row>
    <row r="43" spans="1:78" ht="41.45" customHeight="1">
      <c r="A43" s="65" t="s">
        <v>261</v>
      </c>
      <c r="C43" s="66"/>
      <c r="D43" s="66" t="s">
        <v>64</v>
      </c>
      <c r="E43" s="67">
        <v>166.03620543707697</v>
      </c>
      <c r="F43" s="69"/>
      <c r="G43" s="103" t="str">
        <f>HYPERLINK("https://pbs.twimg.com/profile_images/1066626629995282432/pazh5L7A_normal.jpg")</f>
        <v>https://pbs.twimg.com/profile_images/1066626629995282432/pazh5L7A_normal.jpg</v>
      </c>
      <c r="H43" s="66"/>
      <c r="I43" s="70" t="s">
        <v>261</v>
      </c>
      <c r="J43" s="71"/>
      <c r="K43" s="71"/>
      <c r="L43" s="70" t="s">
        <v>1641</v>
      </c>
      <c r="M43" s="74">
        <v>4.087886792720889</v>
      </c>
      <c r="N43" s="75">
        <v>2282.484619140625</v>
      </c>
      <c r="O43" s="75">
        <v>5962.18408203125</v>
      </c>
      <c r="P43" s="76"/>
      <c r="Q43" s="77"/>
      <c r="R43" s="77"/>
      <c r="S43" s="89"/>
      <c r="T43" s="49">
        <v>0</v>
      </c>
      <c r="U43" s="49">
        <v>4</v>
      </c>
      <c r="V43" s="50">
        <v>0.0625</v>
      </c>
      <c r="W43" s="50">
        <v>0.006098</v>
      </c>
      <c r="X43" s="50">
        <v>0.01966</v>
      </c>
      <c r="Y43" s="50">
        <v>0.604436</v>
      </c>
      <c r="Z43" s="50">
        <v>0.5</v>
      </c>
      <c r="AA43" s="50">
        <v>0</v>
      </c>
      <c r="AB43" s="72">
        <v>43</v>
      </c>
      <c r="AC43" s="72"/>
      <c r="AD43" s="73"/>
      <c r="AE43" s="79" t="s">
        <v>1056</v>
      </c>
      <c r="AF43" s="88" t="s">
        <v>1218</v>
      </c>
      <c r="AG43" s="79">
        <v>8749</v>
      </c>
      <c r="AH43" s="79">
        <v>8000</v>
      </c>
      <c r="AI43" s="79">
        <v>152689</v>
      </c>
      <c r="AJ43" s="79">
        <v>135423</v>
      </c>
      <c r="AK43" s="79"/>
      <c r="AL43" s="79" t="s">
        <v>1378</v>
      </c>
      <c r="AM43" s="79"/>
      <c r="AN43" s="84" t="str">
        <f>HYPERLINK("https://t.co/6G7aEFT13G")</f>
        <v>https://t.co/6G7aEFT13G</v>
      </c>
      <c r="AO43" s="79"/>
      <c r="AP43" s="81">
        <v>42532.319918981484</v>
      </c>
      <c r="AQ43" s="79"/>
      <c r="AR43" s="79" t="b">
        <v>1</v>
      </c>
      <c r="AS43" s="79" t="b">
        <v>0</v>
      </c>
      <c r="AT43" s="79" t="b">
        <v>0</v>
      </c>
      <c r="AU43" s="79"/>
      <c r="AV43" s="79">
        <v>26</v>
      </c>
      <c r="AW43" s="79"/>
      <c r="AX43" s="79" t="b">
        <v>0</v>
      </c>
      <c r="AY43" s="79" t="s">
        <v>1601</v>
      </c>
      <c r="AZ43" s="84" t="str">
        <f>HYPERLINK("https://twitter.com/hakangunery_")</f>
        <v>https://twitter.com/hakangunery_</v>
      </c>
      <c r="BA43" s="79" t="s">
        <v>66</v>
      </c>
      <c r="BB43" s="79" t="str">
        <f>REPLACE(INDEX(GroupVertices[Group],MATCH(Vertices[[#This Row],[Vertex]],GroupVertices[Vertex],0)),1,1,"")</f>
        <v>1</v>
      </c>
      <c r="BC43" s="49" t="s">
        <v>1834</v>
      </c>
      <c r="BD43" s="49" t="s">
        <v>1834</v>
      </c>
      <c r="BE43" s="49" t="s">
        <v>528</v>
      </c>
      <c r="BF43" s="49" t="s">
        <v>528</v>
      </c>
      <c r="BG43" s="49"/>
      <c r="BH43" s="49"/>
      <c r="BI43" s="108" t="s">
        <v>2295</v>
      </c>
      <c r="BJ43" s="108" t="s">
        <v>2295</v>
      </c>
      <c r="BK43" s="108" t="s">
        <v>2151</v>
      </c>
      <c r="BL43" s="108" t="s">
        <v>2151</v>
      </c>
      <c r="BM43" s="108">
        <v>0</v>
      </c>
      <c r="BN43" s="111">
        <v>0</v>
      </c>
      <c r="BO43" s="108">
        <v>0</v>
      </c>
      <c r="BP43" s="111">
        <v>0</v>
      </c>
      <c r="BQ43" s="108">
        <v>0</v>
      </c>
      <c r="BR43" s="111">
        <v>0</v>
      </c>
      <c r="BS43" s="108">
        <v>34</v>
      </c>
      <c r="BT43" s="111">
        <v>100</v>
      </c>
      <c r="BU43" s="108">
        <v>34</v>
      </c>
      <c r="BV43" s="2"/>
      <c r="BW43" s="3"/>
      <c r="BX43" s="3"/>
      <c r="BY43" s="3"/>
      <c r="BZ43" s="3"/>
    </row>
    <row r="44" spans="1:78" ht="41.45" customHeight="1">
      <c r="A44" s="65" t="s">
        <v>377</v>
      </c>
      <c r="C44" s="66"/>
      <c r="D44" s="66" t="s">
        <v>64</v>
      </c>
      <c r="E44" s="67">
        <v>163.7310276068264</v>
      </c>
      <c r="F44" s="69"/>
      <c r="G44" s="103" t="str">
        <f>HYPERLINK("https://pbs.twimg.com/profile_images/1229749189250371584/-5URCGtw_normal.jpg")</f>
        <v>https://pbs.twimg.com/profile_images/1229749189250371584/-5URCGtw_normal.jpg</v>
      </c>
      <c r="H44" s="66"/>
      <c r="I44" s="70" t="s">
        <v>377</v>
      </c>
      <c r="J44" s="71"/>
      <c r="K44" s="71"/>
      <c r="L44" s="70" t="s">
        <v>1642</v>
      </c>
      <c r="M44" s="74">
        <v>2.324317448228171</v>
      </c>
      <c r="N44" s="75">
        <v>1734.5753173828125</v>
      </c>
      <c r="O44" s="75">
        <v>7571.75439453125</v>
      </c>
      <c r="P44" s="76"/>
      <c r="Q44" s="77"/>
      <c r="R44" s="77"/>
      <c r="S44" s="89"/>
      <c r="T44" s="49">
        <v>32</v>
      </c>
      <c r="U44" s="49">
        <v>0</v>
      </c>
      <c r="V44" s="50">
        <v>332.833333</v>
      </c>
      <c r="W44" s="50">
        <v>0.008929</v>
      </c>
      <c r="X44" s="50">
        <v>0.069417</v>
      </c>
      <c r="Y44" s="50">
        <v>4.190587</v>
      </c>
      <c r="Z44" s="50">
        <v>0.06350806451612903</v>
      </c>
      <c r="AA44" s="50">
        <v>0</v>
      </c>
      <c r="AB44" s="72">
        <v>44</v>
      </c>
      <c r="AC44" s="72"/>
      <c r="AD44" s="73"/>
      <c r="AE44" s="79" t="s">
        <v>1057</v>
      </c>
      <c r="AF44" s="88" t="s">
        <v>1219</v>
      </c>
      <c r="AG44" s="79">
        <v>601</v>
      </c>
      <c r="AH44" s="79">
        <v>3431</v>
      </c>
      <c r="AI44" s="79">
        <v>541</v>
      </c>
      <c r="AJ44" s="79">
        <v>1214</v>
      </c>
      <c r="AK44" s="79"/>
      <c r="AL44" s="79" t="s">
        <v>1379</v>
      </c>
      <c r="AM44" s="79" t="s">
        <v>1532</v>
      </c>
      <c r="AN44" s="84" t="str">
        <f>HYPERLINK("https://t.co/6rV30Rw9hl")</f>
        <v>https://t.co/6rV30Rw9hl</v>
      </c>
      <c r="AO44" s="79"/>
      <c r="AP44" s="81">
        <v>43257.67711805556</v>
      </c>
      <c r="AQ44" s="84" t="str">
        <f>HYPERLINK("https://pbs.twimg.com/profile_banners/1004396257551486977/1561998861")</f>
        <v>https://pbs.twimg.com/profile_banners/1004396257551486977/1561998861</v>
      </c>
      <c r="AR44" s="79" t="b">
        <v>1</v>
      </c>
      <c r="AS44" s="79" t="b">
        <v>0</v>
      </c>
      <c r="AT44" s="79" t="b">
        <v>1</v>
      </c>
      <c r="AU44" s="79"/>
      <c r="AV44" s="79">
        <v>79</v>
      </c>
      <c r="AW44" s="79"/>
      <c r="AX44" s="79" t="b">
        <v>0</v>
      </c>
      <c r="AY44" s="79" t="s">
        <v>1601</v>
      </c>
      <c r="AZ44" s="84" t="str">
        <f>HYPERLINK("https://twitter.com/bluenaluinc")</f>
        <v>https://twitter.com/bluenaluinc</v>
      </c>
      <c r="BA44" s="79" t="s">
        <v>65</v>
      </c>
      <c r="BB44" s="79" t="str">
        <f>REPLACE(INDEX(GroupVertices[Group],MATCH(Vertices[[#This Row],[Vertex]],GroupVertices[Vertex],0)),1,1,"")</f>
        <v>1</v>
      </c>
      <c r="BC44" s="49"/>
      <c r="BD44" s="49"/>
      <c r="BE44" s="49"/>
      <c r="BF44" s="49"/>
      <c r="BG44" s="49"/>
      <c r="BH44" s="49"/>
      <c r="BI44" s="49"/>
      <c r="BJ44" s="49"/>
      <c r="BK44" s="49"/>
      <c r="BL44" s="49"/>
      <c r="BM44" s="49"/>
      <c r="BN44" s="50"/>
      <c r="BO44" s="49"/>
      <c r="BP44" s="50"/>
      <c r="BQ44" s="49"/>
      <c r="BR44" s="50"/>
      <c r="BS44" s="49"/>
      <c r="BT44" s="50"/>
      <c r="BU44" s="49"/>
      <c r="BV44" s="2"/>
      <c r="BW44" s="3"/>
      <c r="BX44" s="3"/>
      <c r="BY44" s="3"/>
      <c r="BZ44" s="3"/>
    </row>
    <row r="45" spans="1:78" ht="41.45" customHeight="1">
      <c r="A45" s="65" t="s">
        <v>331</v>
      </c>
      <c r="C45" s="66"/>
      <c r="D45" s="66" t="s">
        <v>64</v>
      </c>
      <c r="E45" s="67">
        <v>165.40857549161151</v>
      </c>
      <c r="F45" s="69"/>
      <c r="G45" s="103" t="str">
        <f>HYPERLINK("https://pbs.twimg.com/profile_images/1413053667930951680/NpQOcSDf_normal.jpg")</f>
        <v>https://pbs.twimg.com/profile_images/1413053667930951680/NpQOcSDf_normal.jpg</v>
      </c>
      <c r="H45" s="66"/>
      <c r="I45" s="70" t="s">
        <v>331</v>
      </c>
      <c r="J45" s="71"/>
      <c r="K45" s="71"/>
      <c r="L45" s="70" t="s">
        <v>1643</v>
      </c>
      <c r="M45" s="74">
        <v>3.6077203964527906</v>
      </c>
      <c r="N45" s="75">
        <v>1840.031005859375</v>
      </c>
      <c r="O45" s="75">
        <v>7445.9765625</v>
      </c>
      <c r="P45" s="76"/>
      <c r="Q45" s="77"/>
      <c r="R45" s="77"/>
      <c r="S45" s="89"/>
      <c r="T45" s="49">
        <v>31</v>
      </c>
      <c r="U45" s="49">
        <v>3</v>
      </c>
      <c r="V45" s="50">
        <v>332.895833</v>
      </c>
      <c r="W45" s="50">
        <v>0.009009</v>
      </c>
      <c r="X45" s="50">
        <v>0.074732</v>
      </c>
      <c r="Y45" s="50">
        <v>4.302393</v>
      </c>
      <c r="Z45" s="50">
        <v>0.08806818181818182</v>
      </c>
      <c r="AA45" s="50">
        <v>0.030303030303030304</v>
      </c>
      <c r="AB45" s="72">
        <v>45</v>
      </c>
      <c r="AC45" s="72"/>
      <c r="AD45" s="73"/>
      <c r="AE45" s="79" t="s">
        <v>1058</v>
      </c>
      <c r="AF45" s="88" t="s">
        <v>1220</v>
      </c>
      <c r="AG45" s="79">
        <v>2204</v>
      </c>
      <c r="AH45" s="79">
        <v>6756</v>
      </c>
      <c r="AI45" s="79">
        <v>2983</v>
      </c>
      <c r="AJ45" s="79">
        <v>2481</v>
      </c>
      <c r="AK45" s="79"/>
      <c r="AL45" s="79" t="s">
        <v>1380</v>
      </c>
      <c r="AM45" s="79" t="s">
        <v>1533</v>
      </c>
      <c r="AN45" s="84" t="str">
        <f>HYPERLINK("https://t.co/noT7ERwBJu")</f>
        <v>https://t.co/noT7ERwBJu</v>
      </c>
      <c r="AO45" s="79"/>
      <c r="AP45" s="81">
        <v>41550.58491898148</v>
      </c>
      <c r="AQ45" s="84" t="str">
        <f>HYPERLINK("https://pbs.twimg.com/profile_banners/1930874905/1625733223")</f>
        <v>https://pbs.twimg.com/profile_banners/1930874905/1625733223</v>
      </c>
      <c r="AR45" s="79" t="b">
        <v>0</v>
      </c>
      <c r="AS45" s="79" t="b">
        <v>0</v>
      </c>
      <c r="AT45" s="79" t="b">
        <v>1</v>
      </c>
      <c r="AU45" s="79"/>
      <c r="AV45" s="79">
        <v>183</v>
      </c>
      <c r="AW45" s="84" t="str">
        <f>HYPERLINK("https://abs.twimg.com/images/themes/theme1/bg.png")</f>
        <v>https://abs.twimg.com/images/themes/theme1/bg.png</v>
      </c>
      <c r="AX45" s="79" t="b">
        <v>0</v>
      </c>
      <c r="AY45" s="79" t="s">
        <v>1601</v>
      </c>
      <c r="AZ45" s="84" t="str">
        <f>HYPERLINK("https://twitter.com/grownunder")</f>
        <v>https://twitter.com/grownunder</v>
      </c>
      <c r="BA45" s="79" t="s">
        <v>66</v>
      </c>
      <c r="BB45" s="79" t="str">
        <f>REPLACE(INDEX(GroupVertices[Group],MATCH(Vertices[[#This Row],[Vertex]],GroupVertices[Vertex],0)),1,1,"")</f>
        <v>1</v>
      </c>
      <c r="BC45" s="49" t="s">
        <v>1830</v>
      </c>
      <c r="BD45" s="49" t="s">
        <v>1830</v>
      </c>
      <c r="BE45" s="49" t="s">
        <v>528</v>
      </c>
      <c r="BF45" s="49" t="s">
        <v>528</v>
      </c>
      <c r="BG45" s="49"/>
      <c r="BH45" s="49"/>
      <c r="BI45" s="108" t="s">
        <v>2295</v>
      </c>
      <c r="BJ45" s="108" t="s">
        <v>2295</v>
      </c>
      <c r="BK45" s="108" t="s">
        <v>2151</v>
      </c>
      <c r="BL45" s="108" t="s">
        <v>2151</v>
      </c>
      <c r="BM45" s="108">
        <v>0</v>
      </c>
      <c r="BN45" s="111">
        <v>0</v>
      </c>
      <c r="BO45" s="108">
        <v>0</v>
      </c>
      <c r="BP45" s="111">
        <v>0</v>
      </c>
      <c r="BQ45" s="108">
        <v>0</v>
      </c>
      <c r="BR45" s="111">
        <v>0</v>
      </c>
      <c r="BS45" s="108">
        <v>34</v>
      </c>
      <c r="BT45" s="111">
        <v>100</v>
      </c>
      <c r="BU45" s="108">
        <v>34</v>
      </c>
      <c r="BV45" s="2"/>
      <c r="BW45" s="3"/>
      <c r="BX45" s="3"/>
      <c r="BY45" s="3"/>
      <c r="BZ45" s="3"/>
    </row>
    <row r="46" spans="1:78" ht="41.45" customHeight="1">
      <c r="A46" s="65" t="s">
        <v>378</v>
      </c>
      <c r="C46" s="66"/>
      <c r="D46" s="66" t="s">
        <v>64</v>
      </c>
      <c r="E46" s="67">
        <v>165.99533885702658</v>
      </c>
      <c r="F46" s="69"/>
      <c r="G46" s="103" t="str">
        <f>HYPERLINK("https://pbs.twimg.com/profile_images/1293314577254555648/t1v9kVx7_normal.jpg")</f>
        <v>https://pbs.twimg.com/profile_images/1293314577254555648/t1v9kVx7_normal.jpg</v>
      </c>
      <c r="H46" s="66"/>
      <c r="I46" s="70" t="s">
        <v>378</v>
      </c>
      <c r="J46" s="71"/>
      <c r="K46" s="71"/>
      <c r="L46" s="70" t="s">
        <v>1644</v>
      </c>
      <c r="M46" s="74">
        <v>4.0566219389445894</v>
      </c>
      <c r="N46" s="75">
        <v>1926.6597900390625</v>
      </c>
      <c r="O46" s="75">
        <v>7592.646484375</v>
      </c>
      <c r="P46" s="76"/>
      <c r="Q46" s="77"/>
      <c r="R46" s="77"/>
      <c r="S46" s="89"/>
      <c r="T46" s="49">
        <v>32</v>
      </c>
      <c r="U46" s="49">
        <v>0</v>
      </c>
      <c r="V46" s="50">
        <v>332.833333</v>
      </c>
      <c r="W46" s="50">
        <v>0.008929</v>
      </c>
      <c r="X46" s="50">
        <v>0.069417</v>
      </c>
      <c r="Y46" s="50">
        <v>4.190587</v>
      </c>
      <c r="Z46" s="50">
        <v>0.06350806451612903</v>
      </c>
      <c r="AA46" s="50">
        <v>0</v>
      </c>
      <c r="AB46" s="72">
        <v>46</v>
      </c>
      <c r="AC46" s="72"/>
      <c r="AD46" s="73"/>
      <c r="AE46" s="79" t="s">
        <v>1059</v>
      </c>
      <c r="AF46" s="88" t="s">
        <v>1221</v>
      </c>
      <c r="AG46" s="79">
        <v>1788</v>
      </c>
      <c r="AH46" s="79">
        <v>7919</v>
      </c>
      <c r="AI46" s="79">
        <v>17352</v>
      </c>
      <c r="AJ46" s="79">
        <v>9642</v>
      </c>
      <c r="AK46" s="79"/>
      <c r="AL46" s="79" t="s">
        <v>1381</v>
      </c>
      <c r="AM46" s="79"/>
      <c r="AN46" s="79"/>
      <c r="AO46" s="79"/>
      <c r="AP46" s="81">
        <v>40118.80983796297</v>
      </c>
      <c r="AQ46" s="84" t="str">
        <f>HYPERLINK("https://pbs.twimg.com/profile_banners/86783742/1606154161")</f>
        <v>https://pbs.twimg.com/profile_banners/86783742/1606154161</v>
      </c>
      <c r="AR46" s="79" t="b">
        <v>0</v>
      </c>
      <c r="AS46" s="79" t="b">
        <v>0</v>
      </c>
      <c r="AT46" s="79" t="b">
        <v>0</v>
      </c>
      <c r="AU46" s="79"/>
      <c r="AV46" s="79">
        <v>240</v>
      </c>
      <c r="AW46" s="84" t="str">
        <f>HYPERLINK("https://abs.twimg.com/images/themes/theme14/bg.gif")</f>
        <v>https://abs.twimg.com/images/themes/theme14/bg.gif</v>
      </c>
      <c r="AX46" s="79" t="b">
        <v>1</v>
      </c>
      <c r="AY46" s="79" t="s">
        <v>1601</v>
      </c>
      <c r="AZ46" s="84" t="str">
        <f>HYPERLINK("https://twitter.com/jonfasman")</f>
        <v>https://twitter.com/jonfasman</v>
      </c>
      <c r="BA46" s="79" t="s">
        <v>65</v>
      </c>
      <c r="BB46" s="79" t="str">
        <f>REPLACE(INDEX(GroupVertices[Group],MATCH(Vertices[[#This Row],[Vertex]],GroupVertices[Vertex],0)),1,1,"")</f>
        <v>1</v>
      </c>
      <c r="BC46" s="49"/>
      <c r="BD46" s="49"/>
      <c r="BE46" s="49"/>
      <c r="BF46" s="49"/>
      <c r="BG46" s="49"/>
      <c r="BH46" s="49"/>
      <c r="BI46" s="49"/>
      <c r="BJ46" s="49"/>
      <c r="BK46" s="49"/>
      <c r="BL46" s="49"/>
      <c r="BM46" s="49"/>
      <c r="BN46" s="50"/>
      <c r="BO46" s="49"/>
      <c r="BP46" s="50"/>
      <c r="BQ46" s="49"/>
      <c r="BR46" s="50"/>
      <c r="BS46" s="49"/>
      <c r="BT46" s="50"/>
      <c r="BU46" s="49"/>
      <c r="BV46" s="2"/>
      <c r="BW46" s="3"/>
      <c r="BX46" s="3"/>
      <c r="BY46" s="3"/>
      <c r="BZ46" s="3"/>
    </row>
    <row r="47" spans="1:78" ht="41.45" customHeight="1">
      <c r="A47" s="65" t="s">
        <v>332</v>
      </c>
      <c r="C47" s="66"/>
      <c r="D47" s="66" t="s">
        <v>64</v>
      </c>
      <c r="E47" s="67">
        <v>220.57089067446293</v>
      </c>
      <c r="F47" s="69"/>
      <c r="G47" s="103" t="str">
        <f>HYPERLINK("https://pbs.twimg.com/profile_images/879701858180358144/2vvZ7wVI_normal.jpg")</f>
        <v>https://pbs.twimg.com/profile_images/879701858180358144/2vvZ7wVI_normal.jpg</v>
      </c>
      <c r="H47" s="66"/>
      <c r="I47" s="70" t="s">
        <v>332</v>
      </c>
      <c r="J47" s="71"/>
      <c r="K47" s="71"/>
      <c r="L47" s="70" t="s">
        <v>1645</v>
      </c>
      <c r="M47" s="74">
        <v>45.80948320672009</v>
      </c>
      <c r="N47" s="75">
        <v>2588.387939453125</v>
      </c>
      <c r="O47" s="75">
        <v>6209.5400390625</v>
      </c>
      <c r="P47" s="76"/>
      <c r="Q47" s="77"/>
      <c r="R47" s="77"/>
      <c r="S47" s="89"/>
      <c r="T47" s="49">
        <v>4</v>
      </c>
      <c r="U47" s="49">
        <v>3</v>
      </c>
      <c r="V47" s="50">
        <v>1.0625</v>
      </c>
      <c r="W47" s="50">
        <v>0.006173</v>
      </c>
      <c r="X47" s="50">
        <v>0.023562</v>
      </c>
      <c r="Y47" s="50">
        <v>0.854059</v>
      </c>
      <c r="Z47" s="50">
        <v>0.4</v>
      </c>
      <c r="AA47" s="50">
        <v>0.16666666666666666</v>
      </c>
      <c r="AB47" s="72">
        <v>47</v>
      </c>
      <c r="AC47" s="72"/>
      <c r="AD47" s="73"/>
      <c r="AE47" s="79" t="s">
        <v>1060</v>
      </c>
      <c r="AF47" s="88" t="s">
        <v>1222</v>
      </c>
      <c r="AG47" s="79">
        <v>199</v>
      </c>
      <c r="AH47" s="79">
        <v>116091</v>
      </c>
      <c r="AI47" s="79">
        <v>43563</v>
      </c>
      <c r="AJ47" s="79">
        <v>1110</v>
      </c>
      <c r="AK47" s="79"/>
      <c r="AL47" s="79" t="s">
        <v>1382</v>
      </c>
      <c r="AM47" s="79" t="s">
        <v>1534</v>
      </c>
      <c r="AN47" s="84" t="str">
        <f>HYPERLINK("http://t.co/2XPJypnRUe")</f>
        <v>http://t.co/2XPJypnRUe</v>
      </c>
      <c r="AO47" s="79"/>
      <c r="AP47" s="81">
        <v>39920.387766203705</v>
      </c>
      <c r="AQ47" s="84" t="str">
        <f>HYPERLINK("https://pbs.twimg.com/profile_banners/32353291/1633608303")</f>
        <v>https://pbs.twimg.com/profile_banners/32353291/1633608303</v>
      </c>
      <c r="AR47" s="79" t="b">
        <v>0</v>
      </c>
      <c r="AS47" s="79" t="b">
        <v>0</v>
      </c>
      <c r="AT47" s="79" t="b">
        <v>0</v>
      </c>
      <c r="AU47" s="79"/>
      <c r="AV47" s="79">
        <v>3411</v>
      </c>
      <c r="AW47" s="84" t="str">
        <f>HYPERLINK("https://abs.twimg.com/images/themes/theme1/bg.png")</f>
        <v>https://abs.twimg.com/images/themes/theme1/bg.png</v>
      </c>
      <c r="AX47" s="79" t="b">
        <v>1</v>
      </c>
      <c r="AY47" s="79" t="s">
        <v>1601</v>
      </c>
      <c r="AZ47" s="84" t="str">
        <f>HYPERLINK("https://twitter.com/econus")</f>
        <v>https://twitter.com/econus</v>
      </c>
      <c r="BA47" s="79" t="s">
        <v>66</v>
      </c>
      <c r="BB47" s="79" t="str">
        <f>REPLACE(INDEX(GroupVertices[Group],MATCH(Vertices[[#This Row],[Vertex]],GroupVertices[Vertex],0)),1,1,"")</f>
        <v>1</v>
      </c>
      <c r="BC47" s="49" t="s">
        <v>2244</v>
      </c>
      <c r="BD47" s="49" t="s">
        <v>2244</v>
      </c>
      <c r="BE47" s="49" t="s">
        <v>528</v>
      </c>
      <c r="BF47" s="49" t="s">
        <v>528</v>
      </c>
      <c r="BG47" s="49"/>
      <c r="BH47" s="49"/>
      <c r="BI47" s="108" t="s">
        <v>2295</v>
      </c>
      <c r="BJ47" s="108" t="s">
        <v>2295</v>
      </c>
      <c r="BK47" s="108" t="s">
        <v>2151</v>
      </c>
      <c r="BL47" s="108" t="s">
        <v>2151</v>
      </c>
      <c r="BM47" s="108">
        <v>0</v>
      </c>
      <c r="BN47" s="111">
        <v>0</v>
      </c>
      <c r="BO47" s="108">
        <v>0</v>
      </c>
      <c r="BP47" s="111">
        <v>0</v>
      </c>
      <c r="BQ47" s="108">
        <v>0</v>
      </c>
      <c r="BR47" s="111">
        <v>0</v>
      </c>
      <c r="BS47" s="108">
        <v>204</v>
      </c>
      <c r="BT47" s="111">
        <v>100</v>
      </c>
      <c r="BU47" s="108">
        <v>204</v>
      </c>
      <c r="BV47" s="2"/>
      <c r="BW47" s="3"/>
      <c r="BX47" s="3"/>
      <c r="BY47" s="3"/>
      <c r="BZ47" s="3"/>
    </row>
    <row r="48" spans="1:78" ht="41.45" customHeight="1">
      <c r="A48" s="65" t="s">
        <v>262</v>
      </c>
      <c r="C48" s="66"/>
      <c r="D48" s="66" t="s">
        <v>64</v>
      </c>
      <c r="E48" s="67">
        <v>162.02522628398174</v>
      </c>
      <c r="F48" s="69"/>
      <c r="G48" s="103" t="str">
        <f>HYPERLINK("https://abs.twimg.com/sticky/default_profile_images/default_profile_normal.png")</f>
        <v>https://abs.twimg.com/sticky/default_profile_images/default_profile_normal.png</v>
      </c>
      <c r="H48" s="66"/>
      <c r="I48" s="70" t="s">
        <v>262</v>
      </c>
      <c r="J48" s="71"/>
      <c r="K48" s="71"/>
      <c r="L48" s="70" t="s">
        <v>1646</v>
      </c>
      <c r="M48" s="74">
        <v>1.0192992924545055</v>
      </c>
      <c r="N48" s="75">
        <v>678.018310546875</v>
      </c>
      <c r="O48" s="75">
        <v>8499.89453125</v>
      </c>
      <c r="P48" s="76"/>
      <c r="Q48" s="77"/>
      <c r="R48" s="77"/>
      <c r="S48" s="89"/>
      <c r="T48" s="49">
        <v>0</v>
      </c>
      <c r="U48" s="49">
        <v>4</v>
      </c>
      <c r="V48" s="50">
        <v>0.0625</v>
      </c>
      <c r="W48" s="50">
        <v>0.007092</v>
      </c>
      <c r="X48" s="50">
        <v>0.023308</v>
      </c>
      <c r="Y48" s="50">
        <v>0.598438</v>
      </c>
      <c r="Z48" s="50">
        <v>0.4166666666666667</v>
      </c>
      <c r="AA48" s="50">
        <v>0</v>
      </c>
      <c r="AB48" s="72">
        <v>48</v>
      </c>
      <c r="AC48" s="72"/>
      <c r="AD48" s="73"/>
      <c r="AE48" s="79" t="s">
        <v>1061</v>
      </c>
      <c r="AF48" s="88" t="s">
        <v>1223</v>
      </c>
      <c r="AG48" s="79">
        <v>1295</v>
      </c>
      <c r="AH48" s="79">
        <v>50</v>
      </c>
      <c r="AI48" s="79">
        <v>7973</v>
      </c>
      <c r="AJ48" s="79">
        <v>901</v>
      </c>
      <c r="AK48" s="79"/>
      <c r="AL48" s="79" t="s">
        <v>1383</v>
      </c>
      <c r="AM48" s="79"/>
      <c r="AN48" s="79"/>
      <c r="AO48" s="79"/>
      <c r="AP48" s="81">
        <v>42355.87425925926</v>
      </c>
      <c r="AQ48" s="79"/>
      <c r="AR48" s="79" t="b">
        <v>1</v>
      </c>
      <c r="AS48" s="79" t="b">
        <v>1</v>
      </c>
      <c r="AT48" s="79" t="b">
        <v>0</v>
      </c>
      <c r="AU48" s="79"/>
      <c r="AV48" s="79">
        <v>0</v>
      </c>
      <c r="AW48" s="79"/>
      <c r="AX48" s="79" t="b">
        <v>0</v>
      </c>
      <c r="AY48" s="79" t="s">
        <v>1601</v>
      </c>
      <c r="AZ48" s="84" t="str">
        <f>HYPERLINK("https://twitter.com/susanamdeleon2")</f>
        <v>https://twitter.com/susanamdeleon2</v>
      </c>
      <c r="BA48" s="79" t="s">
        <v>66</v>
      </c>
      <c r="BB48" s="79" t="str">
        <f>REPLACE(INDEX(GroupVertices[Group],MATCH(Vertices[[#This Row],[Vertex]],GroupVertices[Vertex],0)),1,1,"")</f>
        <v>1</v>
      </c>
      <c r="BC48" s="49" t="s">
        <v>1824</v>
      </c>
      <c r="BD48" s="49" t="s">
        <v>1824</v>
      </c>
      <c r="BE48" s="49" t="s">
        <v>528</v>
      </c>
      <c r="BF48" s="49" t="s">
        <v>528</v>
      </c>
      <c r="BG48" s="49"/>
      <c r="BH48" s="49"/>
      <c r="BI48" s="108" t="s">
        <v>2295</v>
      </c>
      <c r="BJ48" s="108" t="s">
        <v>2295</v>
      </c>
      <c r="BK48" s="108" t="s">
        <v>2151</v>
      </c>
      <c r="BL48" s="108" t="s">
        <v>2151</v>
      </c>
      <c r="BM48" s="108">
        <v>0</v>
      </c>
      <c r="BN48" s="111">
        <v>0</v>
      </c>
      <c r="BO48" s="108">
        <v>0</v>
      </c>
      <c r="BP48" s="111">
        <v>0</v>
      </c>
      <c r="BQ48" s="108">
        <v>0</v>
      </c>
      <c r="BR48" s="111">
        <v>0</v>
      </c>
      <c r="BS48" s="108">
        <v>34</v>
      </c>
      <c r="BT48" s="111">
        <v>100</v>
      </c>
      <c r="BU48" s="108">
        <v>34</v>
      </c>
      <c r="BV48" s="2"/>
      <c r="BW48" s="3"/>
      <c r="BX48" s="3"/>
      <c r="BY48" s="3"/>
      <c r="BZ48" s="3"/>
    </row>
    <row r="49" spans="1:78" ht="41.45" customHeight="1">
      <c r="A49" s="65" t="s">
        <v>342</v>
      </c>
      <c r="C49" s="66"/>
      <c r="D49" s="66" t="s">
        <v>64</v>
      </c>
      <c r="E49" s="67">
        <v>1000</v>
      </c>
      <c r="F49" s="69"/>
      <c r="G49" s="103" t="str">
        <f>HYPERLINK("https://pbs.twimg.com/profile_images/879361767914262528/HdRauDM-_normal.jpg")</f>
        <v>https://pbs.twimg.com/profile_images/879361767914262528/HdRauDM-_normal.jpg</v>
      </c>
      <c r="H49" s="66"/>
      <c r="I49" s="70" t="s">
        <v>342</v>
      </c>
      <c r="J49" s="71"/>
      <c r="K49" s="71"/>
      <c r="L49" s="70" t="s">
        <v>1647</v>
      </c>
      <c r="M49" s="74">
        <v>9999</v>
      </c>
      <c r="N49" s="75">
        <v>1770.4228515625</v>
      </c>
      <c r="O49" s="75">
        <v>8017.05322265625</v>
      </c>
      <c r="P49" s="76"/>
      <c r="Q49" s="77"/>
      <c r="R49" s="77"/>
      <c r="S49" s="89"/>
      <c r="T49" s="49">
        <v>27</v>
      </c>
      <c r="U49" s="49">
        <v>3</v>
      </c>
      <c r="V49" s="50">
        <v>1714.0625</v>
      </c>
      <c r="W49" s="50">
        <v>0.010638</v>
      </c>
      <c r="X49" s="50">
        <v>0.067565</v>
      </c>
      <c r="Y49" s="50">
        <v>4.058602</v>
      </c>
      <c r="Z49" s="50">
        <v>0.0896551724137931</v>
      </c>
      <c r="AA49" s="50">
        <v>0</v>
      </c>
      <c r="AB49" s="72">
        <v>49</v>
      </c>
      <c r="AC49" s="72"/>
      <c r="AD49" s="73"/>
      <c r="AE49" s="79" t="s">
        <v>1060</v>
      </c>
      <c r="AF49" s="88" t="s">
        <v>1224</v>
      </c>
      <c r="AG49" s="79">
        <v>136</v>
      </c>
      <c r="AH49" s="79">
        <v>25902504</v>
      </c>
      <c r="AI49" s="79">
        <v>278402</v>
      </c>
      <c r="AJ49" s="79">
        <v>156</v>
      </c>
      <c r="AK49" s="79"/>
      <c r="AL49" s="79" t="s">
        <v>1384</v>
      </c>
      <c r="AM49" s="79" t="s">
        <v>1512</v>
      </c>
      <c r="AN49" s="84" t="str">
        <f>HYPERLINK("https://t.co/pN0OAmG4SP")</f>
        <v>https://t.co/pN0OAmG4SP</v>
      </c>
      <c r="AO49" s="79"/>
      <c r="AP49" s="81">
        <v>39214.545023148145</v>
      </c>
      <c r="AQ49" s="84" t="str">
        <f>HYPERLINK("https://pbs.twimg.com/profile_banners/5988062/1633605948")</f>
        <v>https://pbs.twimg.com/profile_banners/5988062/1633605948</v>
      </c>
      <c r="AR49" s="79" t="b">
        <v>0</v>
      </c>
      <c r="AS49" s="79" t="b">
        <v>0</v>
      </c>
      <c r="AT49" s="79" t="b">
        <v>0</v>
      </c>
      <c r="AU49" s="79"/>
      <c r="AV49" s="79">
        <v>118398</v>
      </c>
      <c r="AW49" s="84" t="str">
        <f>HYPERLINK("https://abs.twimg.com/images/themes/theme1/bg.png")</f>
        <v>https://abs.twimg.com/images/themes/theme1/bg.png</v>
      </c>
      <c r="AX49" s="79" t="b">
        <v>1</v>
      </c>
      <c r="AY49" s="79" t="s">
        <v>1601</v>
      </c>
      <c r="AZ49" s="84" t="str">
        <f>HYPERLINK("https://twitter.com/theeconomist")</f>
        <v>https://twitter.com/theeconomist</v>
      </c>
      <c r="BA49" s="79" t="s">
        <v>66</v>
      </c>
      <c r="BB49" s="79" t="str">
        <f>REPLACE(INDEX(GroupVertices[Group],MATCH(Vertices[[#This Row],[Vertex]],GroupVertices[Vertex],0)),1,1,"")</f>
        <v>1</v>
      </c>
      <c r="BC49" s="49" t="s">
        <v>2245</v>
      </c>
      <c r="BD49" s="49" t="s">
        <v>2245</v>
      </c>
      <c r="BE49" s="49" t="s">
        <v>528</v>
      </c>
      <c r="BF49" s="49" t="s">
        <v>528</v>
      </c>
      <c r="BG49" s="49"/>
      <c r="BH49" s="49"/>
      <c r="BI49" s="108" t="s">
        <v>2295</v>
      </c>
      <c r="BJ49" s="108" t="s">
        <v>2295</v>
      </c>
      <c r="BK49" s="108" t="s">
        <v>2151</v>
      </c>
      <c r="BL49" s="108" t="s">
        <v>2151</v>
      </c>
      <c r="BM49" s="108">
        <v>0</v>
      </c>
      <c r="BN49" s="111">
        <v>0</v>
      </c>
      <c r="BO49" s="108">
        <v>0</v>
      </c>
      <c r="BP49" s="111">
        <v>0</v>
      </c>
      <c r="BQ49" s="108">
        <v>0</v>
      </c>
      <c r="BR49" s="111">
        <v>0</v>
      </c>
      <c r="BS49" s="108">
        <v>102</v>
      </c>
      <c r="BT49" s="111">
        <v>100</v>
      </c>
      <c r="BU49" s="108">
        <v>102</v>
      </c>
      <c r="BV49" s="2"/>
      <c r="BW49" s="3"/>
      <c r="BX49" s="3"/>
      <c r="BY49" s="3"/>
      <c r="BZ49" s="3"/>
    </row>
    <row r="50" spans="1:78" ht="41.45" customHeight="1">
      <c r="A50" s="65" t="s">
        <v>263</v>
      </c>
      <c r="C50" s="66"/>
      <c r="D50" s="66" t="s">
        <v>64</v>
      </c>
      <c r="E50" s="67">
        <v>162.00454073111672</v>
      </c>
      <c r="F50" s="69"/>
      <c r="G50" s="103" t="str">
        <f>HYPERLINK("https://pbs.twimg.com/profile_images/1406643177675579396/DmQjXVQ4_normal.jpg")</f>
        <v>https://pbs.twimg.com/profile_images/1406643177675579396/DmQjXVQ4_normal.jpg</v>
      </c>
      <c r="H50" s="66"/>
      <c r="I50" s="70" t="s">
        <v>263</v>
      </c>
      <c r="J50" s="71"/>
      <c r="K50" s="71"/>
      <c r="L50" s="70" t="s">
        <v>1648</v>
      </c>
      <c r="M50" s="74">
        <v>1.003473872641811</v>
      </c>
      <c r="N50" s="75">
        <v>3076.26220703125</v>
      </c>
      <c r="O50" s="75">
        <v>6973.75390625</v>
      </c>
      <c r="P50" s="76"/>
      <c r="Q50" s="77"/>
      <c r="R50" s="77"/>
      <c r="S50" s="89"/>
      <c r="T50" s="49">
        <v>0</v>
      </c>
      <c r="U50" s="49">
        <v>4</v>
      </c>
      <c r="V50" s="50">
        <v>0.0625</v>
      </c>
      <c r="W50" s="50">
        <v>0.007092</v>
      </c>
      <c r="X50" s="50">
        <v>0.023308</v>
      </c>
      <c r="Y50" s="50">
        <v>0.598438</v>
      </c>
      <c r="Z50" s="50">
        <v>0.4166666666666667</v>
      </c>
      <c r="AA50" s="50">
        <v>0</v>
      </c>
      <c r="AB50" s="72">
        <v>50</v>
      </c>
      <c r="AC50" s="72"/>
      <c r="AD50" s="73"/>
      <c r="AE50" s="79" t="s">
        <v>1062</v>
      </c>
      <c r="AF50" s="88" t="s">
        <v>1225</v>
      </c>
      <c r="AG50" s="79">
        <v>108</v>
      </c>
      <c r="AH50" s="79">
        <v>9</v>
      </c>
      <c r="AI50" s="79">
        <v>117</v>
      </c>
      <c r="AJ50" s="79">
        <v>824</v>
      </c>
      <c r="AK50" s="79"/>
      <c r="AL50" s="79" t="s">
        <v>1385</v>
      </c>
      <c r="AM50" s="79"/>
      <c r="AN50" s="79"/>
      <c r="AO50" s="79"/>
      <c r="AP50" s="81">
        <v>41549.67606481481</v>
      </c>
      <c r="AQ50" s="84" t="str">
        <f>HYPERLINK("https://pbs.twimg.com/profile_banners/1927404745/1624204843")</f>
        <v>https://pbs.twimg.com/profile_banners/1927404745/1624204843</v>
      </c>
      <c r="AR50" s="79" t="b">
        <v>1</v>
      </c>
      <c r="AS50" s="79" t="b">
        <v>0</v>
      </c>
      <c r="AT50" s="79" t="b">
        <v>0</v>
      </c>
      <c r="AU50" s="79"/>
      <c r="AV50" s="79">
        <v>0</v>
      </c>
      <c r="AW50" s="84" t="str">
        <f>HYPERLINK("https://abs.twimg.com/images/themes/theme1/bg.png")</f>
        <v>https://abs.twimg.com/images/themes/theme1/bg.png</v>
      </c>
      <c r="AX50" s="79" t="b">
        <v>0</v>
      </c>
      <c r="AY50" s="79" t="s">
        <v>1601</v>
      </c>
      <c r="AZ50" s="84" t="str">
        <f>HYPERLINK("https://twitter.com/moh_nis")</f>
        <v>https://twitter.com/moh_nis</v>
      </c>
      <c r="BA50" s="79" t="s">
        <v>66</v>
      </c>
      <c r="BB50" s="79" t="str">
        <f>REPLACE(INDEX(GroupVertices[Group],MATCH(Vertices[[#This Row],[Vertex]],GroupVertices[Vertex],0)),1,1,"")</f>
        <v>1</v>
      </c>
      <c r="BC50" s="49" t="s">
        <v>1824</v>
      </c>
      <c r="BD50" s="49" t="s">
        <v>1824</v>
      </c>
      <c r="BE50" s="49" t="s">
        <v>528</v>
      </c>
      <c r="BF50" s="49" t="s">
        <v>528</v>
      </c>
      <c r="BG50" s="49"/>
      <c r="BH50" s="49"/>
      <c r="BI50" s="108" t="s">
        <v>2295</v>
      </c>
      <c r="BJ50" s="108" t="s">
        <v>2295</v>
      </c>
      <c r="BK50" s="108" t="s">
        <v>2151</v>
      </c>
      <c r="BL50" s="108" t="s">
        <v>2151</v>
      </c>
      <c r="BM50" s="108">
        <v>0</v>
      </c>
      <c r="BN50" s="111">
        <v>0</v>
      </c>
      <c r="BO50" s="108">
        <v>0</v>
      </c>
      <c r="BP50" s="111">
        <v>0</v>
      </c>
      <c r="BQ50" s="108">
        <v>0</v>
      </c>
      <c r="BR50" s="111">
        <v>0</v>
      </c>
      <c r="BS50" s="108">
        <v>34</v>
      </c>
      <c r="BT50" s="111">
        <v>100</v>
      </c>
      <c r="BU50" s="108">
        <v>34</v>
      </c>
      <c r="BV50" s="2"/>
      <c r="BW50" s="3"/>
      <c r="BX50" s="3"/>
      <c r="BY50" s="3"/>
      <c r="BZ50" s="3"/>
    </row>
    <row r="51" spans="1:78" ht="41.45" customHeight="1">
      <c r="A51" s="65" t="s">
        <v>264</v>
      </c>
      <c r="C51" s="66"/>
      <c r="D51" s="66" t="s">
        <v>64</v>
      </c>
      <c r="E51" s="67">
        <v>162.99189748616166</v>
      </c>
      <c r="F51" s="69"/>
      <c r="G51" s="103" t="str">
        <f>HYPERLINK("https://pbs.twimg.com/profile_images/1221366082562211840/Hd6ovz0k_normal.jpg")</f>
        <v>https://pbs.twimg.com/profile_images/1221366082562211840/Hd6ovz0k_normal.jpg</v>
      </c>
      <c r="H51" s="66"/>
      <c r="I51" s="70" t="s">
        <v>264</v>
      </c>
      <c r="J51" s="71"/>
      <c r="K51" s="71"/>
      <c r="L51" s="70" t="s">
        <v>1649</v>
      </c>
      <c r="M51" s="74">
        <v>1.7588481793111583</v>
      </c>
      <c r="N51" s="75">
        <v>2497.8486328125</v>
      </c>
      <c r="O51" s="75">
        <v>9001.5927734375</v>
      </c>
      <c r="P51" s="76"/>
      <c r="Q51" s="77"/>
      <c r="R51" s="77"/>
      <c r="S51" s="89"/>
      <c r="T51" s="49">
        <v>0</v>
      </c>
      <c r="U51" s="49">
        <v>4</v>
      </c>
      <c r="V51" s="50">
        <v>0.0625</v>
      </c>
      <c r="W51" s="50">
        <v>0.007092</v>
      </c>
      <c r="X51" s="50">
        <v>0.023308</v>
      </c>
      <c r="Y51" s="50">
        <v>0.598438</v>
      </c>
      <c r="Z51" s="50">
        <v>0.4166666666666667</v>
      </c>
      <c r="AA51" s="50">
        <v>0</v>
      </c>
      <c r="AB51" s="72">
        <v>51</v>
      </c>
      <c r="AC51" s="72"/>
      <c r="AD51" s="73"/>
      <c r="AE51" s="79" t="s">
        <v>1063</v>
      </c>
      <c r="AF51" s="88" t="s">
        <v>1226</v>
      </c>
      <c r="AG51" s="79">
        <v>38</v>
      </c>
      <c r="AH51" s="79">
        <v>1966</v>
      </c>
      <c r="AI51" s="79">
        <v>1344364</v>
      </c>
      <c r="AJ51" s="79">
        <v>0</v>
      </c>
      <c r="AK51" s="79"/>
      <c r="AL51" s="79" t="s">
        <v>1386</v>
      </c>
      <c r="AM51" s="79"/>
      <c r="AN51" s="79"/>
      <c r="AO51" s="79"/>
      <c r="AP51" s="81">
        <v>43856.399664351855</v>
      </c>
      <c r="AQ51" s="84" t="str">
        <f>HYPERLINK("https://pbs.twimg.com/profile_banners/1221366000752324609/1580031383")</f>
        <v>https://pbs.twimg.com/profile_banners/1221366000752324609/1580031383</v>
      </c>
      <c r="AR51" s="79" t="b">
        <v>1</v>
      </c>
      <c r="AS51" s="79" t="b">
        <v>0</v>
      </c>
      <c r="AT51" s="79" t="b">
        <v>0</v>
      </c>
      <c r="AU51" s="79"/>
      <c r="AV51" s="79">
        <v>11</v>
      </c>
      <c r="AW51" s="79"/>
      <c r="AX51" s="79" t="b">
        <v>0</v>
      </c>
      <c r="AY51" s="79" t="s">
        <v>1601</v>
      </c>
      <c r="AZ51" s="84" t="str">
        <f>HYPERLINK("https://twitter.com/world_news_eng")</f>
        <v>https://twitter.com/world_news_eng</v>
      </c>
      <c r="BA51" s="79" t="s">
        <v>66</v>
      </c>
      <c r="BB51" s="79" t="str">
        <f>REPLACE(INDEX(GroupVertices[Group],MATCH(Vertices[[#This Row],[Vertex]],GroupVertices[Vertex],0)),1,1,"")</f>
        <v>1</v>
      </c>
      <c r="BC51" s="49" t="s">
        <v>1824</v>
      </c>
      <c r="BD51" s="49" t="s">
        <v>1824</v>
      </c>
      <c r="BE51" s="49" t="s">
        <v>528</v>
      </c>
      <c r="BF51" s="49" t="s">
        <v>528</v>
      </c>
      <c r="BG51" s="49"/>
      <c r="BH51" s="49"/>
      <c r="BI51" s="108" t="s">
        <v>2295</v>
      </c>
      <c r="BJ51" s="108" t="s">
        <v>2295</v>
      </c>
      <c r="BK51" s="108" t="s">
        <v>2151</v>
      </c>
      <c r="BL51" s="108" t="s">
        <v>2151</v>
      </c>
      <c r="BM51" s="108">
        <v>0</v>
      </c>
      <c r="BN51" s="111">
        <v>0</v>
      </c>
      <c r="BO51" s="108">
        <v>0</v>
      </c>
      <c r="BP51" s="111">
        <v>0</v>
      </c>
      <c r="BQ51" s="108">
        <v>0</v>
      </c>
      <c r="BR51" s="111">
        <v>0</v>
      </c>
      <c r="BS51" s="108">
        <v>34</v>
      </c>
      <c r="BT51" s="111">
        <v>100</v>
      </c>
      <c r="BU51" s="108">
        <v>34</v>
      </c>
      <c r="BV51" s="2"/>
      <c r="BW51" s="3"/>
      <c r="BX51" s="3"/>
      <c r="BY51" s="3"/>
      <c r="BZ51" s="3"/>
    </row>
    <row r="52" spans="1:78" ht="41.45" customHeight="1">
      <c r="A52" s="65" t="s">
        <v>265</v>
      </c>
      <c r="C52" s="66"/>
      <c r="D52" s="66" t="s">
        <v>64</v>
      </c>
      <c r="E52" s="67">
        <v>162.27900270083794</v>
      </c>
      <c r="F52" s="69"/>
      <c r="G52" s="103" t="str">
        <f>HYPERLINK("https://pbs.twimg.com/profile_images/1237392210636627968/4AaYQWX-_normal.jpg")</f>
        <v>https://pbs.twimg.com/profile_images/1237392210636627968/4AaYQWX-_normal.jpg</v>
      </c>
      <c r="H52" s="66"/>
      <c r="I52" s="70" t="s">
        <v>265</v>
      </c>
      <c r="J52" s="71"/>
      <c r="K52" s="71"/>
      <c r="L52" s="70" t="s">
        <v>1650</v>
      </c>
      <c r="M52" s="74">
        <v>1.2134501745468316</v>
      </c>
      <c r="N52" s="75">
        <v>3190.396728515625</v>
      </c>
      <c r="O52" s="75">
        <v>7906.23291015625</v>
      </c>
      <c r="P52" s="76"/>
      <c r="Q52" s="77"/>
      <c r="R52" s="77"/>
      <c r="S52" s="89"/>
      <c r="T52" s="49">
        <v>0</v>
      </c>
      <c r="U52" s="49">
        <v>4</v>
      </c>
      <c r="V52" s="50">
        <v>0.0625</v>
      </c>
      <c r="W52" s="50">
        <v>0.007092</v>
      </c>
      <c r="X52" s="50">
        <v>0.023308</v>
      </c>
      <c r="Y52" s="50">
        <v>0.598438</v>
      </c>
      <c r="Z52" s="50">
        <v>0.4166666666666667</v>
      </c>
      <c r="AA52" s="50">
        <v>0</v>
      </c>
      <c r="AB52" s="72">
        <v>52</v>
      </c>
      <c r="AC52" s="72"/>
      <c r="AD52" s="73"/>
      <c r="AE52" s="79" t="s">
        <v>1064</v>
      </c>
      <c r="AF52" s="88" t="s">
        <v>1227</v>
      </c>
      <c r="AG52" s="79">
        <v>1341</v>
      </c>
      <c r="AH52" s="79">
        <v>553</v>
      </c>
      <c r="AI52" s="79">
        <v>76932</v>
      </c>
      <c r="AJ52" s="79">
        <v>12033</v>
      </c>
      <c r="AK52" s="79"/>
      <c r="AL52" s="79" t="s">
        <v>1387</v>
      </c>
      <c r="AM52" s="79" t="s">
        <v>1535</v>
      </c>
      <c r="AN52" s="84" t="str">
        <f>HYPERLINK("https://t.co/26P26bCOZV")</f>
        <v>https://t.co/26P26bCOZV</v>
      </c>
      <c r="AO52" s="79"/>
      <c r="AP52" s="81">
        <v>42631.47505787037</v>
      </c>
      <c r="AQ52" s="84" t="str">
        <f>HYPERLINK("https://pbs.twimg.com/profile_banners/777468228750761986/1565262387")</f>
        <v>https://pbs.twimg.com/profile_banners/777468228750761986/1565262387</v>
      </c>
      <c r="AR52" s="79" t="b">
        <v>1</v>
      </c>
      <c r="AS52" s="79" t="b">
        <v>0</v>
      </c>
      <c r="AT52" s="79" t="b">
        <v>0</v>
      </c>
      <c r="AU52" s="79"/>
      <c r="AV52" s="79">
        <v>3</v>
      </c>
      <c r="AW52" s="79"/>
      <c r="AX52" s="79" t="b">
        <v>0</v>
      </c>
      <c r="AY52" s="79" t="s">
        <v>1601</v>
      </c>
      <c r="AZ52" s="84" t="str">
        <f>HYPERLINK("https://twitter.com/ezeonufo")</f>
        <v>https://twitter.com/ezeonufo</v>
      </c>
      <c r="BA52" s="79" t="s">
        <v>66</v>
      </c>
      <c r="BB52" s="79" t="str">
        <f>REPLACE(INDEX(GroupVertices[Group],MATCH(Vertices[[#This Row],[Vertex]],GroupVertices[Vertex],0)),1,1,"")</f>
        <v>1</v>
      </c>
      <c r="BC52" s="49" t="s">
        <v>1824</v>
      </c>
      <c r="BD52" s="49" t="s">
        <v>1824</v>
      </c>
      <c r="BE52" s="49" t="s">
        <v>528</v>
      </c>
      <c r="BF52" s="49" t="s">
        <v>528</v>
      </c>
      <c r="BG52" s="49"/>
      <c r="BH52" s="49"/>
      <c r="BI52" s="108" t="s">
        <v>2295</v>
      </c>
      <c r="BJ52" s="108" t="s">
        <v>2295</v>
      </c>
      <c r="BK52" s="108" t="s">
        <v>2151</v>
      </c>
      <c r="BL52" s="108" t="s">
        <v>2151</v>
      </c>
      <c r="BM52" s="108">
        <v>0</v>
      </c>
      <c r="BN52" s="111">
        <v>0</v>
      </c>
      <c r="BO52" s="108">
        <v>0</v>
      </c>
      <c r="BP52" s="111">
        <v>0</v>
      </c>
      <c r="BQ52" s="108">
        <v>0</v>
      </c>
      <c r="BR52" s="111">
        <v>0</v>
      </c>
      <c r="BS52" s="108">
        <v>34</v>
      </c>
      <c r="BT52" s="111">
        <v>100</v>
      </c>
      <c r="BU52" s="108">
        <v>34</v>
      </c>
      <c r="BV52" s="2"/>
      <c r="BW52" s="3"/>
      <c r="BX52" s="3"/>
      <c r="BY52" s="3"/>
      <c r="BZ52" s="3"/>
    </row>
    <row r="53" spans="1:78" ht="41.45" customHeight="1">
      <c r="A53" s="65" t="s">
        <v>266</v>
      </c>
      <c r="C53" s="66"/>
      <c r="D53" s="66" t="s">
        <v>64</v>
      </c>
      <c r="E53" s="67">
        <v>162.00605430815563</v>
      </c>
      <c r="F53" s="69"/>
      <c r="G53" s="103" t="str">
        <f>HYPERLINK("https://pbs.twimg.com/profile_images/1428037507921371136/3s8BY1x4_normal.jpg")</f>
        <v>https://pbs.twimg.com/profile_images/1428037507921371136/3s8BY1x4_normal.jpg</v>
      </c>
      <c r="H53" s="66"/>
      <c r="I53" s="70" t="s">
        <v>266</v>
      </c>
      <c r="J53" s="71"/>
      <c r="K53" s="71"/>
      <c r="L53" s="70" t="s">
        <v>1651</v>
      </c>
      <c r="M53" s="74">
        <v>1.0046318301890813</v>
      </c>
      <c r="N53" s="75">
        <v>434.7391357421875</v>
      </c>
      <c r="O53" s="75">
        <v>7588.09423828125</v>
      </c>
      <c r="P53" s="76"/>
      <c r="Q53" s="77"/>
      <c r="R53" s="77"/>
      <c r="S53" s="89"/>
      <c r="T53" s="49">
        <v>0</v>
      </c>
      <c r="U53" s="49">
        <v>4</v>
      </c>
      <c r="V53" s="50">
        <v>0.0625</v>
      </c>
      <c r="W53" s="50">
        <v>0.007092</v>
      </c>
      <c r="X53" s="50">
        <v>0.023308</v>
      </c>
      <c r="Y53" s="50">
        <v>0.598438</v>
      </c>
      <c r="Z53" s="50">
        <v>0.4166666666666667</v>
      </c>
      <c r="AA53" s="50">
        <v>0</v>
      </c>
      <c r="AB53" s="72">
        <v>53</v>
      </c>
      <c r="AC53" s="72"/>
      <c r="AD53" s="73"/>
      <c r="AE53" s="79" t="s">
        <v>1065</v>
      </c>
      <c r="AF53" s="88" t="s">
        <v>1228</v>
      </c>
      <c r="AG53" s="79">
        <v>53</v>
      </c>
      <c r="AH53" s="79">
        <v>12</v>
      </c>
      <c r="AI53" s="79">
        <v>22</v>
      </c>
      <c r="AJ53" s="79">
        <v>952</v>
      </c>
      <c r="AK53" s="79"/>
      <c r="AL53" s="79" t="s">
        <v>1388</v>
      </c>
      <c r="AM53" s="79"/>
      <c r="AN53" s="79"/>
      <c r="AO53" s="79"/>
      <c r="AP53" s="81">
        <v>44425.55751157407</v>
      </c>
      <c r="AQ53" s="79"/>
      <c r="AR53" s="79" t="b">
        <v>1</v>
      </c>
      <c r="AS53" s="79" t="b">
        <v>0</v>
      </c>
      <c r="AT53" s="79" t="b">
        <v>0</v>
      </c>
      <c r="AU53" s="79"/>
      <c r="AV53" s="79">
        <v>0</v>
      </c>
      <c r="AW53" s="79"/>
      <c r="AX53" s="79" t="b">
        <v>0</v>
      </c>
      <c r="AY53" s="79" t="s">
        <v>1601</v>
      </c>
      <c r="AZ53" s="84" t="str">
        <f>HYPERLINK("https://twitter.com/deucejaxon")</f>
        <v>https://twitter.com/deucejaxon</v>
      </c>
      <c r="BA53" s="79" t="s">
        <v>66</v>
      </c>
      <c r="BB53" s="79" t="str">
        <f>REPLACE(INDEX(GroupVertices[Group],MATCH(Vertices[[#This Row],[Vertex]],GroupVertices[Vertex],0)),1,1,"")</f>
        <v>1</v>
      </c>
      <c r="BC53" s="49" t="s">
        <v>1824</v>
      </c>
      <c r="BD53" s="49" t="s">
        <v>1824</v>
      </c>
      <c r="BE53" s="49" t="s">
        <v>528</v>
      </c>
      <c r="BF53" s="49" t="s">
        <v>528</v>
      </c>
      <c r="BG53" s="49"/>
      <c r="BH53" s="49"/>
      <c r="BI53" s="108" t="s">
        <v>2295</v>
      </c>
      <c r="BJ53" s="108" t="s">
        <v>2295</v>
      </c>
      <c r="BK53" s="108" t="s">
        <v>2151</v>
      </c>
      <c r="BL53" s="108" t="s">
        <v>2151</v>
      </c>
      <c r="BM53" s="108">
        <v>0</v>
      </c>
      <c r="BN53" s="111">
        <v>0</v>
      </c>
      <c r="BO53" s="108">
        <v>0</v>
      </c>
      <c r="BP53" s="111">
        <v>0</v>
      </c>
      <c r="BQ53" s="108">
        <v>0</v>
      </c>
      <c r="BR53" s="111">
        <v>0</v>
      </c>
      <c r="BS53" s="108">
        <v>34</v>
      </c>
      <c r="BT53" s="111">
        <v>100</v>
      </c>
      <c r="BU53" s="108">
        <v>34</v>
      </c>
      <c r="BV53" s="2"/>
      <c r="BW53" s="3"/>
      <c r="BX53" s="3"/>
      <c r="BY53" s="3"/>
      <c r="BZ53" s="3"/>
    </row>
    <row r="54" spans="1:78" ht="41.45" customHeight="1">
      <c r="A54" s="65" t="s">
        <v>267</v>
      </c>
      <c r="C54" s="66"/>
      <c r="D54" s="66" t="s">
        <v>64</v>
      </c>
      <c r="E54" s="67">
        <v>162.33399599991813</v>
      </c>
      <c r="F54" s="69"/>
      <c r="G54" s="103" t="str">
        <f>HYPERLINK("https://pbs.twimg.com/profile_images/1336618044135600129/fiaagpi6_normal.jpg")</f>
        <v>https://pbs.twimg.com/profile_images/1336618044135600129/fiaagpi6_normal.jpg</v>
      </c>
      <c r="H54" s="66"/>
      <c r="I54" s="70" t="s">
        <v>267</v>
      </c>
      <c r="J54" s="71"/>
      <c r="K54" s="71"/>
      <c r="L54" s="70" t="s">
        <v>1652</v>
      </c>
      <c r="M54" s="74">
        <v>1.2555226320976536</v>
      </c>
      <c r="N54" s="75">
        <v>7024.6591796875</v>
      </c>
      <c r="O54" s="75">
        <v>4848.99169921875</v>
      </c>
      <c r="P54" s="76"/>
      <c r="Q54" s="77"/>
      <c r="R54" s="77"/>
      <c r="S54" s="89"/>
      <c r="T54" s="49">
        <v>0</v>
      </c>
      <c r="U54" s="49">
        <v>1</v>
      </c>
      <c r="V54" s="50">
        <v>0</v>
      </c>
      <c r="W54" s="50">
        <v>0.333333</v>
      </c>
      <c r="X54" s="50">
        <v>0</v>
      </c>
      <c r="Y54" s="50">
        <v>0.638296</v>
      </c>
      <c r="Z54" s="50">
        <v>0</v>
      </c>
      <c r="AA54" s="50">
        <v>0</v>
      </c>
      <c r="AB54" s="72">
        <v>54</v>
      </c>
      <c r="AC54" s="72"/>
      <c r="AD54" s="73"/>
      <c r="AE54" s="79" t="s">
        <v>1066</v>
      </c>
      <c r="AF54" s="88" t="s">
        <v>1229</v>
      </c>
      <c r="AG54" s="79">
        <v>1688</v>
      </c>
      <c r="AH54" s="79">
        <v>662</v>
      </c>
      <c r="AI54" s="79">
        <v>5971</v>
      </c>
      <c r="AJ54" s="79">
        <v>8718</v>
      </c>
      <c r="AK54" s="79"/>
      <c r="AL54" s="79" t="s">
        <v>1389</v>
      </c>
      <c r="AM54" s="79" t="s">
        <v>1536</v>
      </c>
      <c r="AN54" s="79"/>
      <c r="AO54" s="79"/>
      <c r="AP54" s="81">
        <v>43743.9037962963</v>
      </c>
      <c r="AQ54" s="84" t="str">
        <f>HYPERLINK("https://pbs.twimg.com/profile_banners/1180598718438883329/1595725834")</f>
        <v>https://pbs.twimg.com/profile_banners/1180598718438883329/1595725834</v>
      </c>
      <c r="AR54" s="79" t="b">
        <v>1</v>
      </c>
      <c r="AS54" s="79" t="b">
        <v>0</v>
      </c>
      <c r="AT54" s="79" t="b">
        <v>0</v>
      </c>
      <c r="AU54" s="79"/>
      <c r="AV54" s="79">
        <v>0</v>
      </c>
      <c r="AW54" s="79"/>
      <c r="AX54" s="79" t="b">
        <v>0</v>
      </c>
      <c r="AY54" s="79" t="s">
        <v>1601</v>
      </c>
      <c r="AZ54" s="84" t="str">
        <f>HYPERLINK("https://twitter.com/andrew41544161")</f>
        <v>https://twitter.com/andrew41544161</v>
      </c>
      <c r="BA54" s="79" t="s">
        <v>66</v>
      </c>
      <c r="BB54" s="79" t="str">
        <f>REPLACE(INDEX(GroupVertices[Group],MATCH(Vertices[[#This Row],[Vertex]],GroupVertices[Vertex],0)),1,1,"")</f>
        <v>14</v>
      </c>
      <c r="BC54" s="49" t="s">
        <v>2246</v>
      </c>
      <c r="BD54" s="49" t="s">
        <v>2246</v>
      </c>
      <c r="BE54" s="49" t="s">
        <v>529</v>
      </c>
      <c r="BF54" s="49" t="s">
        <v>529</v>
      </c>
      <c r="BG54" s="49"/>
      <c r="BH54" s="49"/>
      <c r="BI54" s="108" t="s">
        <v>2296</v>
      </c>
      <c r="BJ54" s="108" t="s">
        <v>2296</v>
      </c>
      <c r="BK54" s="108" t="s">
        <v>2371</v>
      </c>
      <c r="BL54" s="108" t="s">
        <v>2371</v>
      </c>
      <c r="BM54" s="108">
        <v>1</v>
      </c>
      <c r="BN54" s="111">
        <v>7.142857142857143</v>
      </c>
      <c r="BO54" s="108">
        <v>0</v>
      </c>
      <c r="BP54" s="111">
        <v>0</v>
      </c>
      <c r="BQ54" s="108">
        <v>0</v>
      </c>
      <c r="BR54" s="111">
        <v>0</v>
      </c>
      <c r="BS54" s="108">
        <v>13</v>
      </c>
      <c r="BT54" s="111">
        <v>92.85714285714286</v>
      </c>
      <c r="BU54" s="108">
        <v>14</v>
      </c>
      <c r="BV54" s="2"/>
      <c r="BW54" s="3"/>
      <c r="BX54" s="3"/>
      <c r="BY54" s="3"/>
      <c r="BZ54" s="3"/>
    </row>
    <row r="55" spans="1:78" ht="41.45" customHeight="1">
      <c r="A55" s="65" t="s">
        <v>314</v>
      </c>
      <c r="C55" s="66"/>
      <c r="D55" s="66" t="s">
        <v>64</v>
      </c>
      <c r="E55" s="67">
        <v>162.61501680347462</v>
      </c>
      <c r="F55" s="69"/>
      <c r="G55" s="103" t="str">
        <f>HYPERLINK("https://pbs.twimg.com/profile_images/1443256995302178819/_RscXDoK_normal.jpg")</f>
        <v>https://pbs.twimg.com/profile_images/1443256995302178819/_RscXDoK_normal.jpg</v>
      </c>
      <c r="H55" s="66"/>
      <c r="I55" s="70" t="s">
        <v>314</v>
      </c>
      <c r="J55" s="71"/>
      <c r="K55" s="71"/>
      <c r="L55" s="70" t="s">
        <v>1653</v>
      </c>
      <c r="M55" s="74">
        <v>1.4705167500408454</v>
      </c>
      <c r="N55" s="75">
        <v>6785.5537109375</v>
      </c>
      <c r="O55" s="75">
        <v>4390.92236328125</v>
      </c>
      <c r="P55" s="76"/>
      <c r="Q55" s="77"/>
      <c r="R55" s="77"/>
      <c r="S55" s="89"/>
      <c r="T55" s="49">
        <v>3</v>
      </c>
      <c r="U55" s="49">
        <v>1</v>
      </c>
      <c r="V55" s="50">
        <v>2</v>
      </c>
      <c r="W55" s="50">
        <v>0.5</v>
      </c>
      <c r="X55" s="50">
        <v>0</v>
      </c>
      <c r="Y55" s="50">
        <v>1.723399</v>
      </c>
      <c r="Z55" s="50">
        <v>0</v>
      </c>
      <c r="AA55" s="50">
        <v>0</v>
      </c>
      <c r="AB55" s="72">
        <v>55</v>
      </c>
      <c r="AC55" s="72"/>
      <c r="AD55" s="73"/>
      <c r="AE55" s="79" t="s">
        <v>1067</v>
      </c>
      <c r="AF55" s="88" t="s">
        <v>1230</v>
      </c>
      <c r="AG55" s="79">
        <v>1868</v>
      </c>
      <c r="AH55" s="79">
        <v>1219</v>
      </c>
      <c r="AI55" s="79">
        <v>38012</v>
      </c>
      <c r="AJ55" s="79">
        <v>43407</v>
      </c>
      <c r="AK55" s="79"/>
      <c r="AL55" s="79" t="s">
        <v>1390</v>
      </c>
      <c r="AM55" s="79" t="s">
        <v>1537</v>
      </c>
      <c r="AN55" s="79"/>
      <c r="AO55" s="79"/>
      <c r="AP55" s="81">
        <v>44268.440729166665</v>
      </c>
      <c r="AQ55" s="84" t="str">
        <f>HYPERLINK("https://pbs.twimg.com/profile_banners/1370684555946991626/1633849330")</f>
        <v>https://pbs.twimg.com/profile_banners/1370684555946991626/1633849330</v>
      </c>
      <c r="AR55" s="79" t="b">
        <v>1</v>
      </c>
      <c r="AS55" s="79" t="b">
        <v>0</v>
      </c>
      <c r="AT55" s="79" t="b">
        <v>0</v>
      </c>
      <c r="AU55" s="79"/>
      <c r="AV55" s="79">
        <v>2</v>
      </c>
      <c r="AW55" s="79"/>
      <c r="AX55" s="79" t="b">
        <v>0</v>
      </c>
      <c r="AY55" s="79" t="s">
        <v>1601</v>
      </c>
      <c r="AZ55" s="84" t="str">
        <f>HYPERLINK("https://twitter.com/jungian_soul")</f>
        <v>https://twitter.com/jungian_soul</v>
      </c>
      <c r="BA55" s="79" t="s">
        <v>66</v>
      </c>
      <c r="BB55" s="79" t="str">
        <f>REPLACE(INDEX(GroupVertices[Group],MATCH(Vertices[[#This Row],[Vertex]],GroupVertices[Vertex],0)),1,1,"")</f>
        <v>14</v>
      </c>
      <c r="BC55" s="49" t="s">
        <v>2247</v>
      </c>
      <c r="BD55" s="49" t="s">
        <v>2247</v>
      </c>
      <c r="BE55" s="49" t="s">
        <v>2263</v>
      </c>
      <c r="BF55" s="49" t="s">
        <v>2267</v>
      </c>
      <c r="BG55" s="49"/>
      <c r="BH55" s="49"/>
      <c r="BI55" s="108" t="s">
        <v>2297</v>
      </c>
      <c r="BJ55" s="108" t="s">
        <v>2343</v>
      </c>
      <c r="BK55" s="108" t="s">
        <v>2372</v>
      </c>
      <c r="BL55" s="108" t="s">
        <v>2410</v>
      </c>
      <c r="BM55" s="108">
        <v>2</v>
      </c>
      <c r="BN55" s="111">
        <v>1.639344262295082</v>
      </c>
      <c r="BO55" s="108">
        <v>1</v>
      </c>
      <c r="BP55" s="111">
        <v>0.819672131147541</v>
      </c>
      <c r="BQ55" s="108">
        <v>0</v>
      </c>
      <c r="BR55" s="111">
        <v>0</v>
      </c>
      <c r="BS55" s="108">
        <v>119</v>
      </c>
      <c r="BT55" s="111">
        <v>97.54098360655738</v>
      </c>
      <c r="BU55" s="108">
        <v>122</v>
      </c>
      <c r="BV55" s="2"/>
      <c r="BW55" s="3"/>
      <c r="BX55" s="3"/>
      <c r="BY55" s="3"/>
      <c r="BZ55" s="3"/>
    </row>
    <row r="56" spans="1:78" ht="41.45" customHeight="1">
      <c r="A56" s="65" t="s">
        <v>268</v>
      </c>
      <c r="C56" s="66"/>
      <c r="D56" s="66" t="s">
        <v>64</v>
      </c>
      <c r="E56" s="67">
        <v>162.00050452567964</v>
      </c>
      <c r="F56" s="69"/>
      <c r="G56" s="103" t="str">
        <f>HYPERLINK("https://pbs.twimg.com/profile_images/1446880773617840134/cgmXbaXq_normal.jpg")</f>
        <v>https://pbs.twimg.com/profile_images/1446880773617840134/cgmXbaXq_normal.jpg</v>
      </c>
      <c r="H56" s="66"/>
      <c r="I56" s="70" t="s">
        <v>268</v>
      </c>
      <c r="J56" s="71"/>
      <c r="K56" s="71"/>
      <c r="L56" s="70" t="s">
        <v>1654</v>
      </c>
      <c r="M56" s="74">
        <v>1.0003859858490902</v>
      </c>
      <c r="N56" s="75">
        <v>2102.380615234375</v>
      </c>
      <c r="O56" s="75">
        <v>9213.73828125</v>
      </c>
      <c r="P56" s="76"/>
      <c r="Q56" s="77"/>
      <c r="R56" s="77"/>
      <c r="S56" s="89"/>
      <c r="T56" s="49">
        <v>0</v>
      </c>
      <c r="U56" s="49">
        <v>4</v>
      </c>
      <c r="V56" s="50">
        <v>0.0625</v>
      </c>
      <c r="W56" s="50">
        <v>0.007092</v>
      </c>
      <c r="X56" s="50">
        <v>0.023308</v>
      </c>
      <c r="Y56" s="50">
        <v>0.598438</v>
      </c>
      <c r="Z56" s="50">
        <v>0.4166666666666667</v>
      </c>
      <c r="AA56" s="50">
        <v>0</v>
      </c>
      <c r="AB56" s="72">
        <v>56</v>
      </c>
      <c r="AC56" s="72"/>
      <c r="AD56" s="73"/>
      <c r="AE56" s="79" t="s">
        <v>1068</v>
      </c>
      <c r="AF56" s="88" t="s">
        <v>1231</v>
      </c>
      <c r="AG56" s="79">
        <v>92</v>
      </c>
      <c r="AH56" s="79">
        <v>1</v>
      </c>
      <c r="AI56" s="79">
        <v>12</v>
      </c>
      <c r="AJ56" s="79">
        <v>4</v>
      </c>
      <c r="AK56" s="79"/>
      <c r="AL56" s="79"/>
      <c r="AM56" s="79" t="s">
        <v>1538</v>
      </c>
      <c r="AN56" s="79"/>
      <c r="AO56" s="79"/>
      <c r="AP56" s="81">
        <v>43287.32424768519</v>
      </c>
      <c r="AQ56" s="84" t="str">
        <f>HYPERLINK("https://pbs.twimg.com/profile_banners/1015140018195582976/1633798781")</f>
        <v>https://pbs.twimg.com/profile_banners/1015140018195582976/1633798781</v>
      </c>
      <c r="AR56" s="79" t="b">
        <v>1</v>
      </c>
      <c r="AS56" s="79" t="b">
        <v>0</v>
      </c>
      <c r="AT56" s="79" t="b">
        <v>0</v>
      </c>
      <c r="AU56" s="79"/>
      <c r="AV56" s="79">
        <v>0</v>
      </c>
      <c r="AW56" s="79"/>
      <c r="AX56" s="79" t="b">
        <v>0</v>
      </c>
      <c r="AY56" s="79" t="s">
        <v>1601</v>
      </c>
      <c r="AZ56" s="84" t="str">
        <f>HYPERLINK("https://twitter.com/y_supansa")</f>
        <v>https://twitter.com/y_supansa</v>
      </c>
      <c r="BA56" s="79" t="s">
        <v>66</v>
      </c>
      <c r="BB56" s="79" t="str">
        <f>REPLACE(INDEX(GroupVertices[Group],MATCH(Vertices[[#This Row],[Vertex]],GroupVertices[Vertex],0)),1,1,"")</f>
        <v>1</v>
      </c>
      <c r="BC56" s="49" t="s">
        <v>1824</v>
      </c>
      <c r="BD56" s="49" t="s">
        <v>1824</v>
      </c>
      <c r="BE56" s="49" t="s">
        <v>528</v>
      </c>
      <c r="BF56" s="49" t="s">
        <v>528</v>
      </c>
      <c r="BG56" s="49"/>
      <c r="BH56" s="49"/>
      <c r="BI56" s="108" t="s">
        <v>2295</v>
      </c>
      <c r="BJ56" s="108" t="s">
        <v>2295</v>
      </c>
      <c r="BK56" s="108" t="s">
        <v>2151</v>
      </c>
      <c r="BL56" s="108" t="s">
        <v>2151</v>
      </c>
      <c r="BM56" s="108">
        <v>0</v>
      </c>
      <c r="BN56" s="111">
        <v>0</v>
      </c>
      <c r="BO56" s="108">
        <v>0</v>
      </c>
      <c r="BP56" s="111">
        <v>0</v>
      </c>
      <c r="BQ56" s="108">
        <v>0</v>
      </c>
      <c r="BR56" s="111">
        <v>0</v>
      </c>
      <c r="BS56" s="108">
        <v>34</v>
      </c>
      <c r="BT56" s="111">
        <v>100</v>
      </c>
      <c r="BU56" s="108">
        <v>34</v>
      </c>
      <c r="BV56" s="2"/>
      <c r="BW56" s="3"/>
      <c r="BX56" s="3"/>
      <c r="BY56" s="3"/>
      <c r="BZ56" s="3"/>
    </row>
    <row r="57" spans="1:78" ht="41.45" customHeight="1">
      <c r="A57" s="65" t="s">
        <v>269</v>
      </c>
      <c r="C57" s="66"/>
      <c r="D57" s="66" t="s">
        <v>64</v>
      </c>
      <c r="E57" s="67">
        <v>234.59115478582945</v>
      </c>
      <c r="F57" s="69"/>
      <c r="G57" s="103" t="str">
        <f>HYPERLINK("https://pbs.twimg.com/profile_images/993312802654765057/E-GFQ2Ne_normal.jpg")</f>
        <v>https://pbs.twimg.com/profile_images/993312802654765057/E-GFQ2Ne_normal.jpg</v>
      </c>
      <c r="H57" s="66"/>
      <c r="I57" s="70" t="s">
        <v>269</v>
      </c>
      <c r="J57" s="71"/>
      <c r="K57" s="71"/>
      <c r="L57" s="70" t="s">
        <v>1655</v>
      </c>
      <c r="M57" s="74">
        <v>56.53564396708519</v>
      </c>
      <c r="N57" s="75">
        <v>8571.6064453125</v>
      </c>
      <c r="O57" s="75">
        <v>4724.658203125</v>
      </c>
      <c r="P57" s="76"/>
      <c r="Q57" s="77"/>
      <c r="R57" s="77"/>
      <c r="S57" s="89"/>
      <c r="T57" s="49">
        <v>2</v>
      </c>
      <c r="U57" s="49">
        <v>1</v>
      </c>
      <c r="V57" s="50">
        <v>0</v>
      </c>
      <c r="W57" s="50">
        <v>1</v>
      </c>
      <c r="X57" s="50">
        <v>0</v>
      </c>
      <c r="Y57" s="50">
        <v>1.298241</v>
      </c>
      <c r="Z57" s="50">
        <v>0</v>
      </c>
      <c r="AA57" s="50">
        <v>0</v>
      </c>
      <c r="AB57" s="72">
        <v>57</v>
      </c>
      <c r="AC57" s="72"/>
      <c r="AD57" s="73"/>
      <c r="AE57" s="79" t="s">
        <v>1069</v>
      </c>
      <c r="AF57" s="88" t="s">
        <v>1232</v>
      </c>
      <c r="AG57" s="79">
        <v>179</v>
      </c>
      <c r="AH57" s="79">
        <v>143880</v>
      </c>
      <c r="AI57" s="79">
        <v>8485</v>
      </c>
      <c r="AJ57" s="79">
        <v>79</v>
      </c>
      <c r="AK57" s="79"/>
      <c r="AL57" s="79" t="s">
        <v>1391</v>
      </c>
      <c r="AM57" s="79" t="s">
        <v>1539</v>
      </c>
      <c r="AN57" s="84" t="str">
        <f>HYPERLINK("http://t.co/S5VSa8Ew6m")</f>
        <v>http://t.co/S5VSa8Ew6m</v>
      </c>
      <c r="AO57" s="79"/>
      <c r="AP57" s="81">
        <v>39885.73653935185</v>
      </c>
      <c r="AQ57" s="79"/>
      <c r="AR57" s="79" t="b">
        <v>0</v>
      </c>
      <c r="AS57" s="79" t="b">
        <v>0</v>
      </c>
      <c r="AT57" s="79" t="b">
        <v>0</v>
      </c>
      <c r="AU57" s="79"/>
      <c r="AV57" s="79">
        <v>4214</v>
      </c>
      <c r="AW57" s="84" t="str">
        <f>HYPERLINK("https://abs.twimg.com/images/themes/theme1/bg.png")</f>
        <v>https://abs.twimg.com/images/themes/theme1/bg.png</v>
      </c>
      <c r="AX57" s="79" t="b">
        <v>0</v>
      </c>
      <c r="AY57" s="79" t="s">
        <v>1601</v>
      </c>
      <c r="AZ57" s="84" t="str">
        <f>HYPERLINK("https://twitter.com/marionnestle")</f>
        <v>https://twitter.com/marionnestle</v>
      </c>
      <c r="BA57" s="79" t="s">
        <v>66</v>
      </c>
      <c r="BB57" s="79" t="str">
        <f>REPLACE(INDEX(GroupVertices[Group],MATCH(Vertices[[#This Row],[Vertex]],GroupVertices[Vertex],0)),1,1,"")</f>
        <v>24</v>
      </c>
      <c r="BC57" s="49" t="s">
        <v>1893</v>
      </c>
      <c r="BD57" s="49" t="s">
        <v>1893</v>
      </c>
      <c r="BE57" s="49" t="s">
        <v>530</v>
      </c>
      <c r="BF57" s="49" t="s">
        <v>530</v>
      </c>
      <c r="BG57" s="49"/>
      <c r="BH57" s="49"/>
      <c r="BI57" s="108" t="s">
        <v>2298</v>
      </c>
      <c r="BJ57" s="108" t="s">
        <v>2298</v>
      </c>
      <c r="BK57" s="108" t="s">
        <v>2168</v>
      </c>
      <c r="BL57" s="108" t="s">
        <v>2168</v>
      </c>
      <c r="BM57" s="108">
        <v>0</v>
      </c>
      <c r="BN57" s="111">
        <v>0</v>
      </c>
      <c r="BO57" s="108">
        <v>0</v>
      </c>
      <c r="BP57" s="111">
        <v>0</v>
      </c>
      <c r="BQ57" s="108">
        <v>0</v>
      </c>
      <c r="BR57" s="111">
        <v>0</v>
      </c>
      <c r="BS57" s="108">
        <v>4</v>
      </c>
      <c r="BT57" s="111">
        <v>100</v>
      </c>
      <c r="BU57" s="108">
        <v>4</v>
      </c>
      <c r="BV57" s="2"/>
      <c r="BW57" s="3"/>
      <c r="BX57" s="3"/>
      <c r="BY57" s="3"/>
      <c r="BZ57" s="3"/>
    </row>
    <row r="58" spans="1:78" ht="41.45" customHeight="1">
      <c r="A58" s="65" t="s">
        <v>270</v>
      </c>
      <c r="C58" s="66"/>
      <c r="D58" s="66" t="s">
        <v>64</v>
      </c>
      <c r="E58" s="67">
        <v>162.50856188507169</v>
      </c>
      <c r="F58" s="69"/>
      <c r="G58" s="103" t="str">
        <f>HYPERLINK("https://pbs.twimg.com/profile_images/1200220758598750208/7cL1vRFe_normal.jpg")</f>
        <v>https://pbs.twimg.com/profile_images/1200220758598750208/7cL1vRFe_normal.jpg</v>
      </c>
      <c r="H58" s="66"/>
      <c r="I58" s="70" t="s">
        <v>270</v>
      </c>
      <c r="J58" s="71"/>
      <c r="K58" s="71"/>
      <c r="L58" s="70" t="s">
        <v>1656</v>
      </c>
      <c r="M58" s="74">
        <v>1.389073735882832</v>
      </c>
      <c r="N58" s="75">
        <v>8571.6064453125</v>
      </c>
      <c r="O58" s="75">
        <v>4960.23681640625</v>
      </c>
      <c r="P58" s="76"/>
      <c r="Q58" s="77"/>
      <c r="R58" s="77"/>
      <c r="S58" s="89"/>
      <c r="T58" s="49">
        <v>0</v>
      </c>
      <c r="U58" s="49">
        <v>1</v>
      </c>
      <c r="V58" s="50">
        <v>0</v>
      </c>
      <c r="W58" s="50">
        <v>1</v>
      </c>
      <c r="X58" s="50">
        <v>0</v>
      </c>
      <c r="Y58" s="50">
        <v>0.701752</v>
      </c>
      <c r="Z58" s="50">
        <v>0</v>
      </c>
      <c r="AA58" s="50">
        <v>0</v>
      </c>
      <c r="AB58" s="72">
        <v>58</v>
      </c>
      <c r="AC58" s="72"/>
      <c r="AD58" s="73"/>
      <c r="AE58" s="79" t="s">
        <v>1070</v>
      </c>
      <c r="AF58" s="88" t="s">
        <v>1233</v>
      </c>
      <c r="AG58" s="79">
        <v>513</v>
      </c>
      <c r="AH58" s="79">
        <v>1008</v>
      </c>
      <c r="AI58" s="79">
        <v>1866</v>
      </c>
      <c r="AJ58" s="79">
        <v>961</v>
      </c>
      <c r="AK58" s="79"/>
      <c r="AL58" s="79" t="s">
        <v>1392</v>
      </c>
      <c r="AM58" s="79" t="s">
        <v>1540</v>
      </c>
      <c r="AN58" s="84" t="str">
        <f>HYPERLINK("https://t.co/iZ65ndeQK5")</f>
        <v>https://t.co/iZ65ndeQK5</v>
      </c>
      <c r="AO58" s="79"/>
      <c r="AP58" s="81">
        <v>39905.120162037034</v>
      </c>
      <c r="AQ58" s="84" t="str">
        <f>HYPERLINK("https://pbs.twimg.com/profile_banners/28265992/1574989906")</f>
        <v>https://pbs.twimg.com/profile_banners/28265992/1574989906</v>
      </c>
      <c r="AR58" s="79" t="b">
        <v>0</v>
      </c>
      <c r="AS58" s="79" t="b">
        <v>0</v>
      </c>
      <c r="AT58" s="79" t="b">
        <v>1</v>
      </c>
      <c r="AU58" s="79"/>
      <c r="AV58" s="79">
        <v>23</v>
      </c>
      <c r="AW58" s="84" t="str">
        <f>HYPERLINK("https://abs.twimg.com/images/themes/theme6/bg.gif")</f>
        <v>https://abs.twimg.com/images/themes/theme6/bg.gif</v>
      </c>
      <c r="AX58" s="79" t="b">
        <v>0</v>
      </c>
      <c r="AY58" s="79" t="s">
        <v>1601</v>
      </c>
      <c r="AZ58" s="84" t="str">
        <f>HYPERLINK("https://twitter.com/jessica_raneri")</f>
        <v>https://twitter.com/jessica_raneri</v>
      </c>
      <c r="BA58" s="79" t="s">
        <v>66</v>
      </c>
      <c r="BB58" s="79" t="str">
        <f>REPLACE(INDEX(GroupVertices[Group],MATCH(Vertices[[#This Row],[Vertex]],GroupVertices[Vertex],0)),1,1,"")</f>
        <v>24</v>
      </c>
      <c r="BC58" s="49" t="s">
        <v>1893</v>
      </c>
      <c r="BD58" s="49" t="s">
        <v>1893</v>
      </c>
      <c r="BE58" s="49" t="s">
        <v>530</v>
      </c>
      <c r="BF58" s="49" t="s">
        <v>530</v>
      </c>
      <c r="BG58" s="49"/>
      <c r="BH58" s="49"/>
      <c r="BI58" s="108" t="s">
        <v>2298</v>
      </c>
      <c r="BJ58" s="108" t="s">
        <v>2298</v>
      </c>
      <c r="BK58" s="108" t="s">
        <v>2168</v>
      </c>
      <c r="BL58" s="108" t="s">
        <v>2168</v>
      </c>
      <c r="BM58" s="108">
        <v>0</v>
      </c>
      <c r="BN58" s="111">
        <v>0</v>
      </c>
      <c r="BO58" s="108">
        <v>0</v>
      </c>
      <c r="BP58" s="111">
        <v>0</v>
      </c>
      <c r="BQ58" s="108">
        <v>0</v>
      </c>
      <c r="BR58" s="111">
        <v>0</v>
      </c>
      <c r="BS58" s="108">
        <v>4</v>
      </c>
      <c r="BT58" s="111">
        <v>100</v>
      </c>
      <c r="BU58" s="108">
        <v>4</v>
      </c>
      <c r="BV58" s="2"/>
      <c r="BW58" s="3"/>
      <c r="BX58" s="3"/>
      <c r="BY58" s="3"/>
      <c r="BZ58" s="3"/>
    </row>
    <row r="59" spans="1:78" ht="41.45" customHeight="1">
      <c r="A59" s="65" t="s">
        <v>271</v>
      </c>
      <c r="C59" s="66"/>
      <c r="D59" s="66" t="s">
        <v>64</v>
      </c>
      <c r="E59" s="67">
        <v>162.0378394259726</v>
      </c>
      <c r="F59" s="69"/>
      <c r="G59" s="103" t="str">
        <f>HYPERLINK("https://pbs.twimg.com/profile_images/1188859816099373056/op_8mGKQ_normal.jpg")</f>
        <v>https://pbs.twimg.com/profile_images/1188859816099373056/op_8mGKQ_normal.jpg</v>
      </c>
      <c r="H59" s="66"/>
      <c r="I59" s="70" t="s">
        <v>271</v>
      </c>
      <c r="J59" s="71"/>
      <c r="K59" s="71"/>
      <c r="L59" s="70" t="s">
        <v>1657</v>
      </c>
      <c r="M59" s="74">
        <v>1.0289489386817583</v>
      </c>
      <c r="N59" s="75">
        <v>1600.08154296875</v>
      </c>
      <c r="O59" s="75">
        <v>3304.643310546875</v>
      </c>
      <c r="P59" s="76"/>
      <c r="Q59" s="77"/>
      <c r="R59" s="77"/>
      <c r="S59" s="89"/>
      <c r="T59" s="49">
        <v>1</v>
      </c>
      <c r="U59" s="49">
        <v>1</v>
      </c>
      <c r="V59" s="50">
        <v>0</v>
      </c>
      <c r="W59" s="50">
        <v>0</v>
      </c>
      <c r="X59" s="50">
        <v>0</v>
      </c>
      <c r="Y59" s="50">
        <v>0.999997</v>
      </c>
      <c r="Z59" s="50">
        <v>0</v>
      </c>
      <c r="AA59" s="50">
        <v>0</v>
      </c>
      <c r="AB59" s="72">
        <v>59</v>
      </c>
      <c r="AC59" s="72"/>
      <c r="AD59" s="73"/>
      <c r="AE59" s="79" t="s">
        <v>1071</v>
      </c>
      <c r="AF59" s="88" t="s">
        <v>1234</v>
      </c>
      <c r="AG59" s="79">
        <v>114</v>
      </c>
      <c r="AH59" s="79">
        <v>75</v>
      </c>
      <c r="AI59" s="79">
        <v>40091</v>
      </c>
      <c r="AJ59" s="79">
        <v>5475</v>
      </c>
      <c r="AK59" s="79"/>
      <c r="AL59" s="79" t="s">
        <v>1393</v>
      </c>
      <c r="AM59" s="79" t="s">
        <v>1541</v>
      </c>
      <c r="AN59" s="79"/>
      <c r="AO59" s="79"/>
      <c r="AP59" s="81">
        <v>42439.74695601852</v>
      </c>
      <c r="AQ59" s="84" t="str">
        <f>HYPERLINK("https://pbs.twimg.com/profile_banners/707988291048579074/1572026926")</f>
        <v>https://pbs.twimg.com/profile_banners/707988291048579074/1572026926</v>
      </c>
      <c r="AR59" s="79" t="b">
        <v>1</v>
      </c>
      <c r="AS59" s="79" t="b">
        <v>0</v>
      </c>
      <c r="AT59" s="79" t="b">
        <v>0</v>
      </c>
      <c r="AU59" s="79"/>
      <c r="AV59" s="79">
        <v>0</v>
      </c>
      <c r="AW59" s="79"/>
      <c r="AX59" s="79" t="b">
        <v>0</v>
      </c>
      <c r="AY59" s="79" t="s">
        <v>1601</v>
      </c>
      <c r="AZ59" s="84" t="str">
        <f>HYPERLINK("https://twitter.com/gregory_chupa")</f>
        <v>https://twitter.com/gregory_chupa</v>
      </c>
      <c r="BA59" s="79" t="s">
        <v>66</v>
      </c>
      <c r="BB59" s="79" t="str">
        <f>REPLACE(INDEX(GroupVertices[Group],MATCH(Vertices[[#This Row],[Vertex]],GroupVertices[Vertex],0)),1,1,"")</f>
        <v>2</v>
      </c>
      <c r="BC59" s="49" t="s">
        <v>1847</v>
      </c>
      <c r="BD59" s="49" t="s">
        <v>1847</v>
      </c>
      <c r="BE59" s="49" t="s">
        <v>531</v>
      </c>
      <c r="BF59" s="49" t="s">
        <v>531</v>
      </c>
      <c r="BG59" s="49"/>
      <c r="BH59" s="49"/>
      <c r="BI59" s="108" t="s">
        <v>2299</v>
      </c>
      <c r="BJ59" s="108" t="s">
        <v>2299</v>
      </c>
      <c r="BK59" s="108" t="s">
        <v>2373</v>
      </c>
      <c r="BL59" s="108" t="s">
        <v>2373</v>
      </c>
      <c r="BM59" s="108">
        <v>1</v>
      </c>
      <c r="BN59" s="111">
        <v>1.6666666666666667</v>
      </c>
      <c r="BO59" s="108">
        <v>1</v>
      </c>
      <c r="BP59" s="111">
        <v>1.6666666666666667</v>
      </c>
      <c r="BQ59" s="108">
        <v>0</v>
      </c>
      <c r="BR59" s="111">
        <v>0</v>
      </c>
      <c r="BS59" s="108">
        <v>58</v>
      </c>
      <c r="BT59" s="111">
        <v>96.66666666666667</v>
      </c>
      <c r="BU59" s="108">
        <v>60</v>
      </c>
      <c r="BV59" s="2"/>
      <c r="BW59" s="3"/>
      <c r="BX59" s="3"/>
      <c r="BY59" s="3"/>
      <c r="BZ59" s="3"/>
    </row>
    <row r="60" spans="1:78" ht="41.45" customHeight="1">
      <c r="A60" s="65" t="s">
        <v>272</v>
      </c>
      <c r="C60" s="66"/>
      <c r="D60" s="66" t="s">
        <v>64</v>
      </c>
      <c r="E60" s="67">
        <v>162.79260984270599</v>
      </c>
      <c r="F60" s="69"/>
      <c r="G60" s="103" t="str">
        <f>HYPERLINK("https://pbs.twimg.com/profile_images/945159517150388224/xvUeEWtp_normal.jpg")</f>
        <v>https://pbs.twimg.com/profile_images/945159517150388224/xvUeEWtp_normal.jpg</v>
      </c>
      <c r="H60" s="66"/>
      <c r="I60" s="70" t="s">
        <v>272</v>
      </c>
      <c r="J60" s="71"/>
      <c r="K60" s="71"/>
      <c r="L60" s="70" t="s">
        <v>1658</v>
      </c>
      <c r="M60" s="74">
        <v>1.6063837689205647</v>
      </c>
      <c r="N60" s="75">
        <v>928.7207641601562</v>
      </c>
      <c r="O60" s="75">
        <v>8860.814453125</v>
      </c>
      <c r="P60" s="76"/>
      <c r="Q60" s="77"/>
      <c r="R60" s="77"/>
      <c r="S60" s="89"/>
      <c r="T60" s="49">
        <v>0</v>
      </c>
      <c r="U60" s="49">
        <v>4</v>
      </c>
      <c r="V60" s="50">
        <v>0.0625</v>
      </c>
      <c r="W60" s="50">
        <v>0.007092</v>
      </c>
      <c r="X60" s="50">
        <v>0.023308</v>
      </c>
      <c r="Y60" s="50">
        <v>0.598438</v>
      </c>
      <c r="Z60" s="50">
        <v>0.4166666666666667</v>
      </c>
      <c r="AA60" s="50">
        <v>0</v>
      </c>
      <c r="AB60" s="72">
        <v>60</v>
      </c>
      <c r="AC60" s="72"/>
      <c r="AD60" s="73"/>
      <c r="AE60" s="79" t="s">
        <v>1072</v>
      </c>
      <c r="AF60" s="88" t="s">
        <v>1235</v>
      </c>
      <c r="AG60" s="79">
        <v>1458</v>
      </c>
      <c r="AH60" s="79">
        <v>1571</v>
      </c>
      <c r="AI60" s="79">
        <v>43210</v>
      </c>
      <c r="AJ60" s="79">
        <v>26124</v>
      </c>
      <c r="AK60" s="79"/>
      <c r="AL60" s="79" t="s">
        <v>1394</v>
      </c>
      <c r="AM60" s="79" t="s">
        <v>1542</v>
      </c>
      <c r="AN60" s="79"/>
      <c r="AO60" s="79"/>
      <c r="AP60" s="81">
        <v>41800.39792824074</v>
      </c>
      <c r="AQ60" s="84" t="str">
        <f>HYPERLINK("https://pbs.twimg.com/profile_banners/2558643751/1515080544")</f>
        <v>https://pbs.twimg.com/profile_banners/2558643751/1515080544</v>
      </c>
      <c r="AR60" s="79" t="b">
        <v>0</v>
      </c>
      <c r="AS60" s="79" t="b">
        <v>0</v>
      </c>
      <c r="AT60" s="79" t="b">
        <v>0</v>
      </c>
      <c r="AU60" s="79"/>
      <c r="AV60" s="79">
        <v>17</v>
      </c>
      <c r="AW60" s="84" t="str">
        <f>HYPERLINK("https://abs.twimg.com/images/themes/theme8/bg.gif")</f>
        <v>https://abs.twimg.com/images/themes/theme8/bg.gif</v>
      </c>
      <c r="AX60" s="79" t="b">
        <v>0</v>
      </c>
      <c r="AY60" s="79" t="s">
        <v>1601</v>
      </c>
      <c r="AZ60" s="84" t="str">
        <f>HYPERLINK("https://twitter.com/glorydey1")</f>
        <v>https://twitter.com/glorydey1</v>
      </c>
      <c r="BA60" s="79" t="s">
        <v>66</v>
      </c>
      <c r="BB60" s="79" t="str">
        <f>REPLACE(INDEX(GroupVertices[Group],MATCH(Vertices[[#This Row],[Vertex]],GroupVertices[Vertex],0)),1,1,"")</f>
        <v>1</v>
      </c>
      <c r="BC60" s="49" t="s">
        <v>1824</v>
      </c>
      <c r="BD60" s="49" t="s">
        <v>1824</v>
      </c>
      <c r="BE60" s="49" t="s">
        <v>528</v>
      </c>
      <c r="BF60" s="49" t="s">
        <v>528</v>
      </c>
      <c r="BG60" s="49"/>
      <c r="BH60" s="49"/>
      <c r="BI60" s="108" t="s">
        <v>2295</v>
      </c>
      <c r="BJ60" s="108" t="s">
        <v>2295</v>
      </c>
      <c r="BK60" s="108" t="s">
        <v>2151</v>
      </c>
      <c r="BL60" s="108" t="s">
        <v>2151</v>
      </c>
      <c r="BM60" s="108">
        <v>0</v>
      </c>
      <c r="BN60" s="111">
        <v>0</v>
      </c>
      <c r="BO60" s="108">
        <v>0</v>
      </c>
      <c r="BP60" s="111">
        <v>0</v>
      </c>
      <c r="BQ60" s="108">
        <v>0</v>
      </c>
      <c r="BR60" s="111">
        <v>0</v>
      </c>
      <c r="BS60" s="108">
        <v>34</v>
      </c>
      <c r="BT60" s="111">
        <v>100</v>
      </c>
      <c r="BU60" s="108">
        <v>34</v>
      </c>
      <c r="BV60" s="2"/>
      <c r="BW60" s="3"/>
      <c r="BX60" s="3"/>
      <c r="BY60" s="3"/>
      <c r="BZ60" s="3"/>
    </row>
    <row r="61" spans="1:78" ht="41.45" customHeight="1">
      <c r="A61" s="65" t="s">
        <v>273</v>
      </c>
      <c r="C61" s="66"/>
      <c r="D61" s="66" t="s">
        <v>64</v>
      </c>
      <c r="E61" s="67">
        <v>162.03380322053553</v>
      </c>
      <c r="F61" s="69"/>
      <c r="G61" s="103" t="str">
        <f>HYPERLINK("https://pbs.twimg.com/profile_images/1428045708771352578/1-ghqROX_normal.jpg")</f>
        <v>https://pbs.twimg.com/profile_images/1428045708771352578/1-ghqROX_normal.jpg</v>
      </c>
      <c r="H61" s="66"/>
      <c r="I61" s="70" t="s">
        <v>273</v>
      </c>
      <c r="J61" s="71"/>
      <c r="K61" s="71"/>
      <c r="L61" s="70" t="s">
        <v>1659</v>
      </c>
      <c r="M61" s="74">
        <v>1.0258610518890374</v>
      </c>
      <c r="N61" s="75">
        <v>9375.8740234375</v>
      </c>
      <c r="O61" s="75">
        <v>4960.23681640625</v>
      </c>
      <c r="P61" s="76"/>
      <c r="Q61" s="77"/>
      <c r="R61" s="77"/>
      <c r="S61" s="89"/>
      <c r="T61" s="49">
        <v>0</v>
      </c>
      <c r="U61" s="49">
        <v>1</v>
      </c>
      <c r="V61" s="50">
        <v>0</v>
      </c>
      <c r="W61" s="50">
        <v>1</v>
      </c>
      <c r="X61" s="50">
        <v>0</v>
      </c>
      <c r="Y61" s="50">
        <v>0.999997</v>
      </c>
      <c r="Z61" s="50">
        <v>0</v>
      </c>
      <c r="AA61" s="50">
        <v>0</v>
      </c>
      <c r="AB61" s="72">
        <v>61</v>
      </c>
      <c r="AC61" s="72"/>
      <c r="AD61" s="73"/>
      <c r="AE61" s="79" t="s">
        <v>1073</v>
      </c>
      <c r="AF61" s="88" t="s">
        <v>1236</v>
      </c>
      <c r="AG61" s="79">
        <v>246</v>
      </c>
      <c r="AH61" s="79">
        <v>67</v>
      </c>
      <c r="AI61" s="79">
        <v>10799</v>
      </c>
      <c r="AJ61" s="79">
        <v>6969</v>
      </c>
      <c r="AK61" s="79"/>
      <c r="AL61" s="79" t="s">
        <v>1395</v>
      </c>
      <c r="AM61" s="79" t="s">
        <v>1543</v>
      </c>
      <c r="AN61" s="84" t="str">
        <f>HYPERLINK("https://t.co/psl5dw1cao")</f>
        <v>https://t.co/psl5dw1cao</v>
      </c>
      <c r="AO61" s="79"/>
      <c r="AP61" s="81">
        <v>40838.126655092594</v>
      </c>
      <c r="AQ61" s="84" t="str">
        <f>HYPERLINK("https://pbs.twimg.com/profile_banners/395697522/1629328062")</f>
        <v>https://pbs.twimg.com/profile_banners/395697522/1629328062</v>
      </c>
      <c r="AR61" s="79" t="b">
        <v>0</v>
      </c>
      <c r="AS61" s="79" t="b">
        <v>0</v>
      </c>
      <c r="AT61" s="79" t="b">
        <v>1</v>
      </c>
      <c r="AU61" s="79"/>
      <c r="AV61" s="79">
        <v>2</v>
      </c>
      <c r="AW61" s="84" t="str">
        <f>HYPERLINK("https://abs.twimg.com/images/themes/theme9/bg.gif")</f>
        <v>https://abs.twimg.com/images/themes/theme9/bg.gif</v>
      </c>
      <c r="AX61" s="79" t="b">
        <v>0</v>
      </c>
      <c r="AY61" s="79" t="s">
        <v>1601</v>
      </c>
      <c r="AZ61" s="84" t="str">
        <f>HYPERLINK("https://twitter.com/steve_ia_hill")</f>
        <v>https://twitter.com/steve_ia_hill</v>
      </c>
      <c r="BA61" s="79" t="s">
        <v>66</v>
      </c>
      <c r="BB61" s="79" t="str">
        <f>REPLACE(INDEX(GroupVertices[Group],MATCH(Vertices[[#This Row],[Vertex]],GroupVertices[Vertex],0)),1,1,"")</f>
        <v>23</v>
      </c>
      <c r="BC61" s="49"/>
      <c r="BD61" s="49"/>
      <c r="BE61" s="49"/>
      <c r="BF61" s="49"/>
      <c r="BG61" s="49"/>
      <c r="BH61" s="49"/>
      <c r="BI61" s="108" t="s">
        <v>2300</v>
      </c>
      <c r="BJ61" s="108" t="s">
        <v>2300</v>
      </c>
      <c r="BK61" s="108" t="s">
        <v>2374</v>
      </c>
      <c r="BL61" s="108" t="s">
        <v>2374</v>
      </c>
      <c r="BM61" s="108">
        <v>1</v>
      </c>
      <c r="BN61" s="111">
        <v>1.9230769230769231</v>
      </c>
      <c r="BO61" s="108">
        <v>1</v>
      </c>
      <c r="BP61" s="111">
        <v>1.9230769230769231</v>
      </c>
      <c r="BQ61" s="108">
        <v>0</v>
      </c>
      <c r="BR61" s="111">
        <v>0</v>
      </c>
      <c r="BS61" s="108">
        <v>50</v>
      </c>
      <c r="BT61" s="111">
        <v>96.15384615384616</v>
      </c>
      <c r="BU61" s="108">
        <v>52</v>
      </c>
      <c r="BV61" s="2"/>
      <c r="BW61" s="3"/>
      <c r="BX61" s="3"/>
      <c r="BY61" s="3"/>
      <c r="BZ61" s="3"/>
    </row>
    <row r="62" spans="1:78" ht="41.45" customHeight="1">
      <c r="A62" s="65" t="s">
        <v>379</v>
      </c>
      <c r="C62" s="66"/>
      <c r="D62" s="66" t="s">
        <v>64</v>
      </c>
      <c r="E62" s="67">
        <v>494.3840403716873</v>
      </c>
      <c r="F62" s="69"/>
      <c r="G62" s="103" t="str">
        <f>HYPERLINK("https://pbs.twimg.com/profile_images/921098191507984385/XYteQA6t_normal.jpg")</f>
        <v>https://pbs.twimg.com/profile_images/921098191507984385/XYteQA6t_normal.jpg</v>
      </c>
      <c r="H62" s="66"/>
      <c r="I62" s="70" t="s">
        <v>379</v>
      </c>
      <c r="J62" s="71"/>
      <c r="K62" s="71"/>
      <c r="L62" s="70" t="s">
        <v>1660</v>
      </c>
      <c r="M62" s="74">
        <v>255.28940730981066</v>
      </c>
      <c r="N62" s="75">
        <v>9375.8740234375</v>
      </c>
      <c r="O62" s="75">
        <v>4724.658203125</v>
      </c>
      <c r="P62" s="76"/>
      <c r="Q62" s="77"/>
      <c r="R62" s="77"/>
      <c r="S62" s="89"/>
      <c r="T62" s="49">
        <v>1</v>
      </c>
      <c r="U62" s="49">
        <v>0</v>
      </c>
      <c r="V62" s="50">
        <v>0</v>
      </c>
      <c r="W62" s="50">
        <v>1</v>
      </c>
      <c r="X62" s="50">
        <v>0</v>
      </c>
      <c r="Y62" s="50">
        <v>0.999997</v>
      </c>
      <c r="Z62" s="50">
        <v>0</v>
      </c>
      <c r="AA62" s="50">
        <v>0</v>
      </c>
      <c r="AB62" s="72">
        <v>62</v>
      </c>
      <c r="AC62" s="72"/>
      <c r="AD62" s="73"/>
      <c r="AE62" s="79" t="s">
        <v>1074</v>
      </c>
      <c r="AF62" s="88" t="s">
        <v>955</v>
      </c>
      <c r="AG62" s="79">
        <v>12860</v>
      </c>
      <c r="AH62" s="79">
        <v>658805</v>
      </c>
      <c r="AI62" s="79">
        <v>10297</v>
      </c>
      <c r="AJ62" s="79">
        <v>4</v>
      </c>
      <c r="AK62" s="79"/>
      <c r="AL62" s="79" t="s">
        <v>1396</v>
      </c>
      <c r="AM62" s="79" t="s">
        <v>1544</v>
      </c>
      <c r="AN62" s="84" t="str">
        <f>HYPERLINK("https://t.co/CM45Tl33ts")</f>
        <v>https://t.co/CM45Tl33ts</v>
      </c>
      <c r="AO62" s="79"/>
      <c r="AP62" s="81">
        <v>39412.636828703704</v>
      </c>
      <c r="AQ62" s="79"/>
      <c r="AR62" s="79" t="b">
        <v>0</v>
      </c>
      <c r="AS62" s="79" t="b">
        <v>0</v>
      </c>
      <c r="AT62" s="79" t="b">
        <v>1</v>
      </c>
      <c r="AU62" s="79"/>
      <c r="AV62" s="79">
        <v>6084</v>
      </c>
      <c r="AW62" s="84" t="str">
        <f>HYPERLINK("https://abs.twimg.com/images/themes/theme1/bg.png")</f>
        <v>https://abs.twimg.com/images/themes/theme1/bg.png</v>
      </c>
      <c r="AX62" s="79" t="b">
        <v>1</v>
      </c>
      <c r="AY62" s="79" t="s">
        <v>1601</v>
      </c>
      <c r="AZ62" s="84" t="str">
        <f>HYPERLINK("https://twitter.com/chuckgrassley")</f>
        <v>https://twitter.com/chuckgrassley</v>
      </c>
      <c r="BA62" s="79" t="s">
        <v>65</v>
      </c>
      <c r="BB62" s="79" t="str">
        <f>REPLACE(INDEX(GroupVertices[Group],MATCH(Vertices[[#This Row],[Vertex]],GroupVertices[Vertex],0)),1,1,"")</f>
        <v>23</v>
      </c>
      <c r="BC62" s="49"/>
      <c r="BD62" s="49"/>
      <c r="BE62" s="49"/>
      <c r="BF62" s="49"/>
      <c r="BG62" s="49"/>
      <c r="BH62" s="49"/>
      <c r="BI62" s="49"/>
      <c r="BJ62" s="49"/>
      <c r="BK62" s="49"/>
      <c r="BL62" s="49"/>
      <c r="BM62" s="49"/>
      <c r="BN62" s="50"/>
      <c r="BO62" s="49"/>
      <c r="BP62" s="50"/>
      <c r="BQ62" s="49"/>
      <c r="BR62" s="50"/>
      <c r="BS62" s="49"/>
      <c r="BT62" s="50"/>
      <c r="BU62" s="49"/>
      <c r="BV62" s="2"/>
      <c r="BW62" s="3"/>
      <c r="BX62" s="3"/>
      <c r="BY62" s="3"/>
      <c r="BZ62" s="3"/>
    </row>
    <row r="63" spans="1:78" ht="41.45" customHeight="1">
      <c r="A63" s="65" t="s">
        <v>274</v>
      </c>
      <c r="C63" s="66"/>
      <c r="D63" s="66" t="s">
        <v>64</v>
      </c>
      <c r="E63" s="67">
        <v>162.04137110573004</v>
      </c>
      <c r="F63" s="69"/>
      <c r="G63" s="103" t="str">
        <f>HYPERLINK("https://pbs.twimg.com/profile_images/1375562084545486848/ToDfVwF6_normal.jpg")</f>
        <v>https://pbs.twimg.com/profile_images/1375562084545486848/ToDfVwF6_normal.jpg</v>
      </c>
      <c r="H63" s="66"/>
      <c r="I63" s="70" t="s">
        <v>274</v>
      </c>
      <c r="J63" s="71"/>
      <c r="K63" s="71"/>
      <c r="L63" s="70" t="s">
        <v>1661</v>
      </c>
      <c r="M63" s="74">
        <v>1.0316508396253892</v>
      </c>
      <c r="N63" s="75">
        <v>6785.5537109375</v>
      </c>
      <c r="O63" s="75">
        <v>4848.99169921875</v>
      </c>
      <c r="P63" s="76"/>
      <c r="Q63" s="77"/>
      <c r="R63" s="77"/>
      <c r="S63" s="89"/>
      <c r="T63" s="49">
        <v>0</v>
      </c>
      <c r="U63" s="49">
        <v>1</v>
      </c>
      <c r="V63" s="50">
        <v>0</v>
      </c>
      <c r="W63" s="50">
        <v>0.333333</v>
      </c>
      <c r="X63" s="50">
        <v>0</v>
      </c>
      <c r="Y63" s="50">
        <v>0.638296</v>
      </c>
      <c r="Z63" s="50">
        <v>0</v>
      </c>
      <c r="AA63" s="50">
        <v>0</v>
      </c>
      <c r="AB63" s="72">
        <v>63</v>
      </c>
      <c r="AC63" s="72"/>
      <c r="AD63" s="73"/>
      <c r="AE63" s="79" t="s">
        <v>274</v>
      </c>
      <c r="AF63" s="88" t="s">
        <v>1237</v>
      </c>
      <c r="AG63" s="79">
        <v>491</v>
      </c>
      <c r="AH63" s="79">
        <v>82</v>
      </c>
      <c r="AI63" s="79">
        <v>6411</v>
      </c>
      <c r="AJ63" s="79">
        <v>934</v>
      </c>
      <c r="AK63" s="79"/>
      <c r="AL63" s="79" t="s">
        <v>1397</v>
      </c>
      <c r="AM63" s="79"/>
      <c r="AN63" s="79"/>
      <c r="AO63" s="79"/>
      <c r="AP63" s="81">
        <v>44281.897627314815</v>
      </c>
      <c r="AQ63" s="79"/>
      <c r="AR63" s="79" t="b">
        <v>1</v>
      </c>
      <c r="AS63" s="79" t="b">
        <v>0</v>
      </c>
      <c r="AT63" s="79" t="b">
        <v>0</v>
      </c>
      <c r="AU63" s="79"/>
      <c r="AV63" s="79">
        <v>0</v>
      </c>
      <c r="AW63" s="79"/>
      <c r="AX63" s="79" t="b">
        <v>0</v>
      </c>
      <c r="AY63" s="79" t="s">
        <v>1601</v>
      </c>
      <c r="AZ63" s="84" t="str">
        <f>HYPERLINK("https://twitter.com/ozzyconda")</f>
        <v>https://twitter.com/ozzyconda</v>
      </c>
      <c r="BA63" s="79" t="s">
        <v>66</v>
      </c>
      <c r="BB63" s="79" t="str">
        <f>REPLACE(INDEX(GroupVertices[Group],MATCH(Vertices[[#This Row],[Vertex]],GroupVertices[Vertex],0)),1,1,"")</f>
        <v>14</v>
      </c>
      <c r="BC63" s="49" t="s">
        <v>2246</v>
      </c>
      <c r="BD63" s="49" t="s">
        <v>2246</v>
      </c>
      <c r="BE63" s="49" t="s">
        <v>529</v>
      </c>
      <c r="BF63" s="49" t="s">
        <v>529</v>
      </c>
      <c r="BG63" s="49"/>
      <c r="BH63" s="49"/>
      <c r="BI63" s="108" t="s">
        <v>2296</v>
      </c>
      <c r="BJ63" s="108" t="s">
        <v>2296</v>
      </c>
      <c r="BK63" s="108" t="s">
        <v>2371</v>
      </c>
      <c r="BL63" s="108" t="s">
        <v>2371</v>
      </c>
      <c r="BM63" s="108">
        <v>1</v>
      </c>
      <c r="BN63" s="111">
        <v>7.142857142857143</v>
      </c>
      <c r="BO63" s="108">
        <v>0</v>
      </c>
      <c r="BP63" s="111">
        <v>0</v>
      </c>
      <c r="BQ63" s="108">
        <v>0</v>
      </c>
      <c r="BR63" s="111">
        <v>0</v>
      </c>
      <c r="BS63" s="108">
        <v>13</v>
      </c>
      <c r="BT63" s="111">
        <v>92.85714285714286</v>
      </c>
      <c r="BU63" s="108">
        <v>14</v>
      </c>
      <c r="BV63" s="2"/>
      <c r="BW63" s="3"/>
      <c r="BX63" s="3"/>
      <c r="BY63" s="3"/>
      <c r="BZ63" s="3"/>
    </row>
    <row r="64" spans="1:78" ht="41.45" customHeight="1">
      <c r="A64" s="65" t="s">
        <v>275</v>
      </c>
      <c r="C64" s="66"/>
      <c r="D64" s="66" t="s">
        <v>64</v>
      </c>
      <c r="E64" s="67">
        <v>162.22249582471886</v>
      </c>
      <c r="F64" s="69"/>
      <c r="G64" s="103" t="str">
        <f>HYPERLINK("https://pbs.twimg.com/profile_images/691704504539037696/Ul7qHJX5_normal.png")</f>
        <v>https://pbs.twimg.com/profile_images/691704504539037696/Ul7qHJX5_normal.png</v>
      </c>
      <c r="H64" s="66"/>
      <c r="I64" s="70" t="s">
        <v>275</v>
      </c>
      <c r="J64" s="71"/>
      <c r="K64" s="71"/>
      <c r="L64" s="70" t="s">
        <v>1662</v>
      </c>
      <c r="M64" s="74">
        <v>1.170219759448739</v>
      </c>
      <c r="N64" s="75">
        <v>2066.218505859375</v>
      </c>
      <c r="O64" s="75">
        <v>2584.820068359375</v>
      </c>
      <c r="P64" s="76"/>
      <c r="Q64" s="77"/>
      <c r="R64" s="77"/>
      <c r="S64" s="89"/>
      <c r="T64" s="49">
        <v>1</v>
      </c>
      <c r="U64" s="49">
        <v>1</v>
      </c>
      <c r="V64" s="50">
        <v>0</v>
      </c>
      <c r="W64" s="50">
        <v>0</v>
      </c>
      <c r="X64" s="50">
        <v>0</v>
      </c>
      <c r="Y64" s="50">
        <v>0.999997</v>
      </c>
      <c r="Z64" s="50">
        <v>0</v>
      </c>
      <c r="AA64" s="50">
        <v>0</v>
      </c>
      <c r="AB64" s="72">
        <v>64</v>
      </c>
      <c r="AC64" s="72"/>
      <c r="AD64" s="73"/>
      <c r="AE64" s="79" t="s">
        <v>1075</v>
      </c>
      <c r="AF64" s="88" t="s">
        <v>1238</v>
      </c>
      <c r="AG64" s="79">
        <v>572</v>
      </c>
      <c r="AH64" s="79">
        <v>441</v>
      </c>
      <c r="AI64" s="79">
        <v>6281</v>
      </c>
      <c r="AJ64" s="79">
        <v>16</v>
      </c>
      <c r="AK64" s="79"/>
      <c r="AL64" s="79" t="s">
        <v>1398</v>
      </c>
      <c r="AM64" s="79" t="s">
        <v>1545</v>
      </c>
      <c r="AN64" s="84" t="str">
        <f>HYPERLINK("http://t.co/onYmUxquHn")</f>
        <v>http://t.co/onYmUxquHn</v>
      </c>
      <c r="AO64" s="79"/>
      <c r="AP64" s="81">
        <v>40305.8221875</v>
      </c>
      <c r="AQ64" s="79"/>
      <c r="AR64" s="79" t="b">
        <v>0</v>
      </c>
      <c r="AS64" s="79" t="b">
        <v>0</v>
      </c>
      <c r="AT64" s="79" t="b">
        <v>1</v>
      </c>
      <c r="AU64" s="79"/>
      <c r="AV64" s="79">
        <v>12</v>
      </c>
      <c r="AW64" s="84" t="str">
        <f>HYPERLINK("https://abs.twimg.com/images/themes/theme1/bg.png")</f>
        <v>https://abs.twimg.com/images/themes/theme1/bg.png</v>
      </c>
      <c r="AX64" s="79" t="b">
        <v>0</v>
      </c>
      <c r="AY64" s="79" t="s">
        <v>1601</v>
      </c>
      <c r="AZ64" s="84" t="str">
        <f>HYPERLINK("https://twitter.com/vectorresearch")</f>
        <v>https://twitter.com/vectorresearch</v>
      </c>
      <c r="BA64" s="79" t="s">
        <v>66</v>
      </c>
      <c r="BB64" s="79" t="str">
        <f>REPLACE(INDEX(GroupVertices[Group],MATCH(Vertices[[#This Row],[Vertex]],GroupVertices[Vertex],0)),1,1,"")</f>
        <v>2</v>
      </c>
      <c r="BC64" s="49" t="s">
        <v>2248</v>
      </c>
      <c r="BD64" s="49" t="s">
        <v>2248</v>
      </c>
      <c r="BE64" s="49" t="s">
        <v>527</v>
      </c>
      <c r="BF64" s="49" t="s">
        <v>527</v>
      </c>
      <c r="BG64" s="49"/>
      <c r="BH64" s="49"/>
      <c r="BI64" s="108" t="s">
        <v>2301</v>
      </c>
      <c r="BJ64" s="108" t="s">
        <v>2301</v>
      </c>
      <c r="BK64" s="108" t="s">
        <v>2375</v>
      </c>
      <c r="BL64" s="108" t="s">
        <v>2375</v>
      </c>
      <c r="BM64" s="108">
        <v>1</v>
      </c>
      <c r="BN64" s="111">
        <v>7.142857142857143</v>
      </c>
      <c r="BO64" s="108">
        <v>0</v>
      </c>
      <c r="BP64" s="111">
        <v>0</v>
      </c>
      <c r="BQ64" s="108">
        <v>0</v>
      </c>
      <c r="BR64" s="111">
        <v>0</v>
      </c>
      <c r="BS64" s="108">
        <v>13</v>
      </c>
      <c r="BT64" s="111">
        <v>92.85714285714286</v>
      </c>
      <c r="BU64" s="108">
        <v>14</v>
      </c>
      <c r="BV64" s="2"/>
      <c r="BW64" s="3"/>
      <c r="BX64" s="3"/>
      <c r="BY64" s="3"/>
      <c r="BZ64" s="3"/>
    </row>
    <row r="65" spans="1:78" ht="41.45" customHeight="1">
      <c r="A65" s="65" t="s">
        <v>276</v>
      </c>
      <c r="C65" s="66"/>
      <c r="D65" s="66" t="s">
        <v>64</v>
      </c>
      <c r="E65" s="67">
        <v>162.60744891828008</v>
      </c>
      <c r="F65" s="69"/>
      <c r="G65" s="103" t="str">
        <f>HYPERLINK("https://pbs.twimg.com/profile_images/1418682736361893891/CisDjVp0_normal.jpg")</f>
        <v>https://pbs.twimg.com/profile_images/1418682736361893891/CisDjVp0_normal.jpg</v>
      </c>
      <c r="H65" s="66"/>
      <c r="I65" s="70" t="s">
        <v>276</v>
      </c>
      <c r="J65" s="71"/>
      <c r="K65" s="71"/>
      <c r="L65" s="70" t="s">
        <v>1663</v>
      </c>
      <c r="M65" s="74">
        <v>1.4647269623044938</v>
      </c>
      <c r="N65" s="75">
        <v>3843.699951171875</v>
      </c>
      <c r="O65" s="75">
        <v>5105.43359375</v>
      </c>
      <c r="P65" s="76"/>
      <c r="Q65" s="77"/>
      <c r="R65" s="77"/>
      <c r="S65" s="89"/>
      <c r="T65" s="49">
        <v>0</v>
      </c>
      <c r="U65" s="49">
        <v>3</v>
      </c>
      <c r="V65" s="50">
        <v>0.5</v>
      </c>
      <c r="W65" s="50">
        <v>0.004739</v>
      </c>
      <c r="X65" s="50">
        <v>0.000166</v>
      </c>
      <c r="Y65" s="50">
        <v>0.788604</v>
      </c>
      <c r="Z65" s="50">
        <v>0.3333333333333333</v>
      </c>
      <c r="AA65" s="50">
        <v>0</v>
      </c>
      <c r="AB65" s="72">
        <v>65</v>
      </c>
      <c r="AC65" s="72"/>
      <c r="AD65" s="73"/>
      <c r="AE65" s="79" t="s">
        <v>1076</v>
      </c>
      <c r="AF65" s="88" t="s">
        <v>1239</v>
      </c>
      <c r="AG65" s="79">
        <v>1577</v>
      </c>
      <c r="AH65" s="79">
        <v>1204</v>
      </c>
      <c r="AI65" s="79">
        <v>1895</v>
      </c>
      <c r="AJ65" s="79">
        <v>3277</v>
      </c>
      <c r="AK65" s="79"/>
      <c r="AL65" s="79" t="s">
        <v>1399</v>
      </c>
      <c r="AM65" s="79" t="s">
        <v>1546</v>
      </c>
      <c r="AN65" s="84" t="str">
        <f>HYPERLINK("https://t.co/BfGqU3pi0q")</f>
        <v>https://t.co/BfGqU3pi0q</v>
      </c>
      <c r="AO65" s="79"/>
      <c r="AP65" s="81">
        <v>42096.15244212963</v>
      </c>
      <c r="AQ65" s="84" t="str">
        <f>HYPERLINK("https://pbs.twimg.com/profile_banners/3131265748/1633582247")</f>
        <v>https://pbs.twimg.com/profile_banners/3131265748/1633582247</v>
      </c>
      <c r="AR65" s="79" t="b">
        <v>0</v>
      </c>
      <c r="AS65" s="79" t="b">
        <v>0</v>
      </c>
      <c r="AT65" s="79" t="b">
        <v>0</v>
      </c>
      <c r="AU65" s="79"/>
      <c r="AV65" s="79">
        <v>32</v>
      </c>
      <c r="AW65" s="84" t="str">
        <f>HYPERLINK("https://abs.twimg.com/images/themes/theme1/bg.png")</f>
        <v>https://abs.twimg.com/images/themes/theme1/bg.png</v>
      </c>
      <c r="AX65" s="79" t="b">
        <v>0</v>
      </c>
      <c r="AY65" s="79" t="s">
        <v>1601</v>
      </c>
      <c r="AZ65" s="84" t="str">
        <f>HYPERLINK("https://twitter.com/lizmarsfilm")</f>
        <v>https://twitter.com/lizmarsfilm</v>
      </c>
      <c r="BA65" s="79" t="s">
        <v>66</v>
      </c>
      <c r="BB65" s="79" t="str">
        <f>REPLACE(INDEX(GroupVertices[Group],MATCH(Vertices[[#This Row],[Vertex]],GroupVertices[Vertex],0)),1,1,"")</f>
        <v>3</v>
      </c>
      <c r="BC65" s="49"/>
      <c r="BD65" s="49"/>
      <c r="BE65" s="49"/>
      <c r="BF65" s="49"/>
      <c r="BG65" s="49" t="s">
        <v>553</v>
      </c>
      <c r="BH65" s="49" t="s">
        <v>553</v>
      </c>
      <c r="BI65" s="108" t="s">
        <v>2302</v>
      </c>
      <c r="BJ65" s="108" t="s">
        <v>2302</v>
      </c>
      <c r="BK65" s="108" t="s">
        <v>2376</v>
      </c>
      <c r="BL65" s="108" t="s">
        <v>2376</v>
      </c>
      <c r="BM65" s="108">
        <v>3</v>
      </c>
      <c r="BN65" s="111">
        <v>7.894736842105263</v>
      </c>
      <c r="BO65" s="108">
        <v>0</v>
      </c>
      <c r="BP65" s="111">
        <v>0</v>
      </c>
      <c r="BQ65" s="108">
        <v>0</v>
      </c>
      <c r="BR65" s="111">
        <v>0</v>
      </c>
      <c r="BS65" s="108">
        <v>35</v>
      </c>
      <c r="BT65" s="111">
        <v>92.10526315789474</v>
      </c>
      <c r="BU65" s="108">
        <v>38</v>
      </c>
      <c r="BV65" s="2"/>
      <c r="BW65" s="3"/>
      <c r="BX65" s="3"/>
      <c r="BY65" s="3"/>
      <c r="BZ65" s="3"/>
    </row>
    <row r="66" spans="1:78" ht="41.45" customHeight="1">
      <c r="A66" s="65" t="s">
        <v>380</v>
      </c>
      <c r="C66" s="66"/>
      <c r="D66" s="66" t="s">
        <v>64</v>
      </c>
      <c r="E66" s="67">
        <v>170.9109325537067</v>
      </c>
      <c r="F66" s="69"/>
      <c r="G66" s="103" t="str">
        <f>HYPERLINK("https://pbs.twimg.com/profile_images/1410982447551074304/2cxxrFHd_normal.jpg")</f>
        <v>https://pbs.twimg.com/profile_images/1410982447551074304/2cxxrFHd_normal.jpg</v>
      </c>
      <c r="H66" s="66"/>
      <c r="I66" s="70" t="s">
        <v>380</v>
      </c>
      <c r="J66" s="71"/>
      <c r="K66" s="71"/>
      <c r="L66" s="70" t="s">
        <v>1664</v>
      </c>
      <c r="M66" s="74">
        <v>7.817282066629543</v>
      </c>
      <c r="N66" s="75">
        <v>4078.810791015625</v>
      </c>
      <c r="O66" s="75">
        <v>5778.583984375</v>
      </c>
      <c r="P66" s="76"/>
      <c r="Q66" s="77"/>
      <c r="R66" s="77"/>
      <c r="S66" s="89"/>
      <c r="T66" s="49">
        <v>4</v>
      </c>
      <c r="U66" s="49">
        <v>0</v>
      </c>
      <c r="V66" s="50">
        <v>71.333333</v>
      </c>
      <c r="W66" s="50">
        <v>0.006329</v>
      </c>
      <c r="X66" s="50">
        <v>0.00065</v>
      </c>
      <c r="Y66" s="50">
        <v>1.010368</v>
      </c>
      <c r="Z66" s="50">
        <v>0.25</v>
      </c>
      <c r="AA66" s="50">
        <v>0</v>
      </c>
      <c r="AB66" s="72">
        <v>66</v>
      </c>
      <c r="AC66" s="72"/>
      <c r="AD66" s="73"/>
      <c r="AE66" s="79" t="s">
        <v>1077</v>
      </c>
      <c r="AF66" s="88" t="s">
        <v>1240</v>
      </c>
      <c r="AG66" s="79">
        <v>497</v>
      </c>
      <c r="AH66" s="79">
        <v>17662</v>
      </c>
      <c r="AI66" s="79">
        <v>2059</v>
      </c>
      <c r="AJ66" s="79">
        <v>3208</v>
      </c>
      <c r="AK66" s="79"/>
      <c r="AL66" s="79" t="s">
        <v>1400</v>
      </c>
      <c r="AM66" s="79"/>
      <c r="AN66" s="84" t="str">
        <f>HYPERLINK("https://t.co/V55VhvECzb")</f>
        <v>https://t.co/V55VhvECzb</v>
      </c>
      <c r="AO66" s="79"/>
      <c r="AP66" s="81">
        <v>42298.97381944444</v>
      </c>
      <c r="AQ66" s="84" t="str">
        <f>HYPERLINK("https://pbs.twimg.com/profile_banners/4012922026/1620812203")</f>
        <v>https://pbs.twimg.com/profile_banners/4012922026/1620812203</v>
      </c>
      <c r="AR66" s="79" t="b">
        <v>0</v>
      </c>
      <c r="AS66" s="79" t="b">
        <v>0</v>
      </c>
      <c r="AT66" s="79" t="b">
        <v>0</v>
      </c>
      <c r="AU66" s="79"/>
      <c r="AV66" s="79">
        <v>293</v>
      </c>
      <c r="AW66" s="84" t="str">
        <f>HYPERLINK("https://abs.twimg.com/images/themes/theme1/bg.png")</f>
        <v>https://abs.twimg.com/images/themes/theme1/bg.png</v>
      </c>
      <c r="AX66" s="79" t="b">
        <v>1</v>
      </c>
      <c r="AY66" s="79" t="s">
        <v>1601</v>
      </c>
      <c r="AZ66" s="84" t="str">
        <f>HYPERLINK("https://twitter.com/upsidefoods")</f>
        <v>https://twitter.com/upsidefoods</v>
      </c>
      <c r="BA66" s="79" t="s">
        <v>65</v>
      </c>
      <c r="BB66" s="79" t="str">
        <f>REPLACE(INDEX(GroupVertices[Group],MATCH(Vertices[[#This Row],[Vertex]],GroupVertices[Vertex],0)),1,1,"")</f>
        <v>3</v>
      </c>
      <c r="BC66" s="49"/>
      <c r="BD66" s="49"/>
      <c r="BE66" s="49"/>
      <c r="BF66" s="49"/>
      <c r="BG66" s="49"/>
      <c r="BH66" s="49"/>
      <c r="BI66" s="49"/>
      <c r="BJ66" s="49"/>
      <c r="BK66" s="49"/>
      <c r="BL66" s="49"/>
      <c r="BM66" s="49"/>
      <c r="BN66" s="50"/>
      <c r="BO66" s="49"/>
      <c r="BP66" s="50"/>
      <c r="BQ66" s="49"/>
      <c r="BR66" s="50"/>
      <c r="BS66" s="49"/>
      <c r="BT66" s="50"/>
      <c r="BU66" s="49"/>
      <c r="BV66" s="2"/>
      <c r="BW66" s="3"/>
      <c r="BX66" s="3"/>
      <c r="BY66" s="3"/>
      <c r="BZ66" s="3"/>
    </row>
    <row r="67" spans="1:78" ht="41.45" customHeight="1">
      <c r="A67" s="65" t="s">
        <v>381</v>
      </c>
      <c r="C67" s="66"/>
      <c r="D67" s="66" t="s">
        <v>64</v>
      </c>
      <c r="E67" s="67">
        <v>164.8313981141095</v>
      </c>
      <c r="F67" s="69"/>
      <c r="G67" s="103" t="str">
        <f>HYPERLINK("https://pbs.twimg.com/profile_images/697836264419033088/awCQOZ5A_normal.png")</f>
        <v>https://pbs.twimg.com/profile_images/697836264419033088/awCQOZ5A_normal.png</v>
      </c>
      <c r="H67" s="66"/>
      <c r="I67" s="70" t="s">
        <v>381</v>
      </c>
      <c r="J67" s="71"/>
      <c r="K67" s="71"/>
      <c r="L67" s="70" t="s">
        <v>1665</v>
      </c>
      <c r="M67" s="74">
        <v>3.1661525850937036</v>
      </c>
      <c r="N67" s="75">
        <v>3990.16845703125</v>
      </c>
      <c r="O67" s="75">
        <v>6109.0654296875</v>
      </c>
      <c r="P67" s="76"/>
      <c r="Q67" s="77"/>
      <c r="R67" s="77"/>
      <c r="S67" s="89"/>
      <c r="T67" s="49">
        <v>4</v>
      </c>
      <c r="U67" s="49">
        <v>0</v>
      </c>
      <c r="V67" s="50">
        <v>71.333333</v>
      </c>
      <c r="W67" s="50">
        <v>0.006329</v>
      </c>
      <c r="X67" s="50">
        <v>0.00065</v>
      </c>
      <c r="Y67" s="50">
        <v>1.010368</v>
      </c>
      <c r="Z67" s="50">
        <v>0.25</v>
      </c>
      <c r="AA67" s="50">
        <v>0</v>
      </c>
      <c r="AB67" s="72">
        <v>67</v>
      </c>
      <c r="AC67" s="72"/>
      <c r="AD67" s="73"/>
      <c r="AE67" s="79" t="s">
        <v>1078</v>
      </c>
      <c r="AF67" s="88" t="s">
        <v>1241</v>
      </c>
      <c r="AG67" s="79">
        <v>798</v>
      </c>
      <c r="AH67" s="79">
        <v>5612</v>
      </c>
      <c r="AI67" s="79">
        <v>551</v>
      </c>
      <c r="AJ67" s="79">
        <v>2018</v>
      </c>
      <c r="AK67" s="79"/>
      <c r="AL67" s="79" t="s">
        <v>1401</v>
      </c>
      <c r="AM67" s="79"/>
      <c r="AN67" s="84" t="str">
        <f>HYPERLINK("https://t.co/ZWUUTwz3LU")</f>
        <v>https://t.co/ZWUUTwz3LU</v>
      </c>
      <c r="AO67" s="79"/>
      <c r="AP67" s="81">
        <v>40936.481516203705</v>
      </c>
      <c r="AQ67" s="79"/>
      <c r="AR67" s="79" t="b">
        <v>1</v>
      </c>
      <c r="AS67" s="79" t="b">
        <v>0</v>
      </c>
      <c r="AT67" s="79" t="b">
        <v>0</v>
      </c>
      <c r="AU67" s="79"/>
      <c r="AV67" s="79">
        <v>98</v>
      </c>
      <c r="AW67" s="84" t="str">
        <f>HYPERLINK("https://abs.twimg.com/images/themes/theme1/bg.png")</f>
        <v>https://abs.twimg.com/images/themes/theme1/bg.png</v>
      </c>
      <c r="AX67" s="79" t="b">
        <v>0</v>
      </c>
      <c r="AY67" s="79" t="s">
        <v>1601</v>
      </c>
      <c r="AZ67" s="84" t="str">
        <f>HYPERLINK("https://twitter.com/umavaleti")</f>
        <v>https://twitter.com/umavaleti</v>
      </c>
      <c r="BA67" s="79" t="s">
        <v>65</v>
      </c>
      <c r="BB67" s="79" t="str">
        <f>REPLACE(INDEX(GroupVertices[Group],MATCH(Vertices[[#This Row],[Vertex]],GroupVertices[Vertex],0)),1,1,"")</f>
        <v>3</v>
      </c>
      <c r="BC67" s="49"/>
      <c r="BD67" s="49"/>
      <c r="BE67" s="49"/>
      <c r="BF67" s="49"/>
      <c r="BG67" s="49"/>
      <c r="BH67" s="49"/>
      <c r="BI67" s="49"/>
      <c r="BJ67" s="49"/>
      <c r="BK67" s="49"/>
      <c r="BL67" s="49"/>
      <c r="BM67" s="49"/>
      <c r="BN67" s="50"/>
      <c r="BO67" s="49"/>
      <c r="BP67" s="50"/>
      <c r="BQ67" s="49"/>
      <c r="BR67" s="50"/>
      <c r="BS67" s="49"/>
      <c r="BT67" s="50"/>
      <c r="BU67" s="49"/>
      <c r="BV67" s="2"/>
      <c r="BW67" s="3"/>
      <c r="BX67" s="3"/>
      <c r="BY67" s="3"/>
      <c r="BZ67" s="3"/>
    </row>
    <row r="68" spans="1:78" ht="41.45" customHeight="1">
      <c r="A68" s="65" t="s">
        <v>350</v>
      </c>
      <c r="C68" s="66"/>
      <c r="D68" s="66" t="s">
        <v>64</v>
      </c>
      <c r="E68" s="67">
        <v>162.7184445677997</v>
      </c>
      <c r="F68" s="69"/>
      <c r="G68" s="103" t="str">
        <f>HYPERLINK("https://pbs.twimg.com/profile_images/1277078535421616128/rB7Y3ODp_normal.jpg")</f>
        <v>https://pbs.twimg.com/profile_images/1277078535421616128/rB7Y3ODp_normal.jpg</v>
      </c>
      <c r="H68" s="66"/>
      <c r="I68" s="70" t="s">
        <v>350</v>
      </c>
      <c r="J68" s="71"/>
      <c r="K68" s="71"/>
      <c r="L68" s="70" t="s">
        <v>1666</v>
      </c>
      <c r="M68" s="74">
        <v>1.5496438491043183</v>
      </c>
      <c r="N68" s="75">
        <v>3930.037353515625</v>
      </c>
      <c r="O68" s="75">
        <v>6374.5380859375</v>
      </c>
      <c r="P68" s="76"/>
      <c r="Q68" s="77"/>
      <c r="R68" s="77"/>
      <c r="S68" s="89"/>
      <c r="T68" s="49">
        <v>3</v>
      </c>
      <c r="U68" s="49">
        <v>2</v>
      </c>
      <c r="V68" s="50">
        <v>71.833333</v>
      </c>
      <c r="W68" s="50">
        <v>0.006369</v>
      </c>
      <c r="X68" s="50">
        <v>0.0007</v>
      </c>
      <c r="Y68" s="50">
        <v>1.230577</v>
      </c>
      <c r="Z68" s="50">
        <v>0.3</v>
      </c>
      <c r="AA68" s="50">
        <v>0</v>
      </c>
      <c r="AB68" s="72">
        <v>68</v>
      </c>
      <c r="AC68" s="72"/>
      <c r="AD68" s="73"/>
      <c r="AE68" s="79" t="s">
        <v>1079</v>
      </c>
      <c r="AF68" s="88" t="s">
        <v>1242</v>
      </c>
      <c r="AG68" s="79">
        <v>1891</v>
      </c>
      <c r="AH68" s="79">
        <v>1424</v>
      </c>
      <c r="AI68" s="79">
        <v>881</v>
      </c>
      <c r="AJ68" s="79">
        <v>1357</v>
      </c>
      <c r="AK68" s="79"/>
      <c r="AL68" s="79" t="s">
        <v>1402</v>
      </c>
      <c r="AM68" s="79" t="s">
        <v>1501</v>
      </c>
      <c r="AN68" s="84" t="str">
        <f>HYPERLINK("https://t.co/ItAImFGPhi")</f>
        <v>https://t.co/ItAImFGPhi</v>
      </c>
      <c r="AO68" s="79"/>
      <c r="AP68" s="81">
        <v>42651.85780092593</v>
      </c>
      <c r="AQ68" s="84" t="str">
        <f>HYPERLINK("https://pbs.twimg.com/profile_banners/784854687170256896/1632325251")</f>
        <v>https://pbs.twimg.com/profile_banners/784854687170256896/1632325251</v>
      </c>
      <c r="AR68" s="79" t="b">
        <v>1</v>
      </c>
      <c r="AS68" s="79" t="b">
        <v>0</v>
      </c>
      <c r="AT68" s="79" t="b">
        <v>1</v>
      </c>
      <c r="AU68" s="79"/>
      <c r="AV68" s="79">
        <v>39</v>
      </c>
      <c r="AW68" s="79"/>
      <c r="AX68" s="79" t="b">
        <v>0</v>
      </c>
      <c r="AY68" s="79" t="s">
        <v>1601</v>
      </c>
      <c r="AZ68" s="84" t="str">
        <f>HYPERLINK("https://twitter.com/mtffilm")</f>
        <v>https://twitter.com/mtffilm</v>
      </c>
      <c r="BA68" s="79" t="s">
        <v>66</v>
      </c>
      <c r="BB68" s="79" t="str">
        <f>REPLACE(INDEX(GroupVertices[Group],MATCH(Vertices[[#This Row],[Vertex]],GroupVertices[Vertex],0)),1,1,"")</f>
        <v>3</v>
      </c>
      <c r="BC68" s="49"/>
      <c r="BD68" s="49"/>
      <c r="BE68" s="49"/>
      <c r="BF68" s="49"/>
      <c r="BG68" s="49" t="s">
        <v>553</v>
      </c>
      <c r="BH68" s="49" t="s">
        <v>553</v>
      </c>
      <c r="BI68" s="108" t="s">
        <v>2302</v>
      </c>
      <c r="BJ68" s="108" t="s">
        <v>2302</v>
      </c>
      <c r="BK68" s="108" t="s">
        <v>2376</v>
      </c>
      <c r="BL68" s="108" t="s">
        <v>2376</v>
      </c>
      <c r="BM68" s="108">
        <v>3</v>
      </c>
      <c r="BN68" s="111">
        <v>7.894736842105263</v>
      </c>
      <c r="BO68" s="108">
        <v>0</v>
      </c>
      <c r="BP68" s="111">
        <v>0</v>
      </c>
      <c r="BQ68" s="108">
        <v>0</v>
      </c>
      <c r="BR68" s="111">
        <v>0</v>
      </c>
      <c r="BS68" s="108">
        <v>35</v>
      </c>
      <c r="BT68" s="111">
        <v>92.10526315789474</v>
      </c>
      <c r="BU68" s="108">
        <v>38</v>
      </c>
      <c r="BV68" s="2"/>
      <c r="BW68" s="3"/>
      <c r="BX68" s="3"/>
      <c r="BY68" s="3"/>
      <c r="BZ68" s="3"/>
    </row>
    <row r="69" spans="1:78" ht="41.45" customHeight="1">
      <c r="A69" s="65" t="s">
        <v>277</v>
      </c>
      <c r="C69" s="66"/>
      <c r="D69" s="66" t="s">
        <v>64</v>
      </c>
      <c r="E69" s="67">
        <v>162.07416527490628</v>
      </c>
      <c r="F69" s="69"/>
      <c r="G69" s="103" t="str">
        <f>HYPERLINK("https://pbs.twimg.com/profile_images/1401004206392180740/HImihjlV_normal.jpg")</f>
        <v>https://pbs.twimg.com/profile_images/1401004206392180740/HImihjlV_normal.jpg</v>
      </c>
      <c r="H69" s="66"/>
      <c r="I69" s="70" t="s">
        <v>277</v>
      </c>
      <c r="J69" s="71"/>
      <c r="K69" s="71"/>
      <c r="L69" s="70" t="s">
        <v>1667</v>
      </c>
      <c r="M69" s="74">
        <v>1.0567399198162464</v>
      </c>
      <c r="N69" s="75">
        <v>2532.35546875</v>
      </c>
      <c r="O69" s="75">
        <v>3304.643310546875</v>
      </c>
      <c r="P69" s="76"/>
      <c r="Q69" s="77"/>
      <c r="R69" s="77"/>
      <c r="S69" s="89"/>
      <c r="T69" s="49">
        <v>1</v>
      </c>
      <c r="U69" s="49">
        <v>1</v>
      </c>
      <c r="V69" s="50">
        <v>0</v>
      </c>
      <c r="W69" s="50">
        <v>0</v>
      </c>
      <c r="X69" s="50">
        <v>0</v>
      </c>
      <c r="Y69" s="50">
        <v>0.999997</v>
      </c>
      <c r="Z69" s="50">
        <v>0</v>
      </c>
      <c r="AA69" s="50">
        <v>0</v>
      </c>
      <c r="AB69" s="72">
        <v>69</v>
      </c>
      <c r="AC69" s="72"/>
      <c r="AD69" s="73"/>
      <c r="AE69" s="79" t="s">
        <v>1080</v>
      </c>
      <c r="AF69" s="88" t="s">
        <v>1243</v>
      </c>
      <c r="AG69" s="79">
        <v>251</v>
      </c>
      <c r="AH69" s="79">
        <v>147</v>
      </c>
      <c r="AI69" s="79">
        <v>3163</v>
      </c>
      <c r="AJ69" s="79">
        <v>3407</v>
      </c>
      <c r="AK69" s="79"/>
      <c r="AL69" s="79" t="s">
        <v>1403</v>
      </c>
      <c r="AM69" s="79"/>
      <c r="AN69" s="84" t="str">
        <f>HYPERLINK("https://t.co/MOsWUWxpCp")</f>
        <v>https://t.co/MOsWUWxpCp</v>
      </c>
      <c r="AO69" s="79"/>
      <c r="AP69" s="81">
        <v>42823.22244212963</v>
      </c>
      <c r="AQ69" s="84" t="str">
        <f>HYPERLINK("https://pbs.twimg.com/profile_banners/846955156600246274/1582516476")</f>
        <v>https://pbs.twimg.com/profile_banners/846955156600246274/1582516476</v>
      </c>
      <c r="AR69" s="79" t="b">
        <v>1</v>
      </c>
      <c r="AS69" s="79" t="b">
        <v>0</v>
      </c>
      <c r="AT69" s="79" t="b">
        <v>0</v>
      </c>
      <c r="AU69" s="79"/>
      <c r="AV69" s="79">
        <v>1</v>
      </c>
      <c r="AW69" s="79"/>
      <c r="AX69" s="79" t="b">
        <v>0</v>
      </c>
      <c r="AY69" s="79" t="s">
        <v>1601</v>
      </c>
      <c r="AZ69" s="84" t="str">
        <f>HYPERLINK("https://twitter.com/toshichimura")</f>
        <v>https://twitter.com/toshichimura</v>
      </c>
      <c r="BA69" s="79" t="s">
        <v>66</v>
      </c>
      <c r="BB69" s="79" t="str">
        <f>REPLACE(INDEX(GroupVertices[Group],MATCH(Vertices[[#This Row],[Vertex]],GroupVertices[Vertex],0)),1,1,"")</f>
        <v>2</v>
      </c>
      <c r="BC69" s="49" t="s">
        <v>1828</v>
      </c>
      <c r="BD69" s="49" t="s">
        <v>1828</v>
      </c>
      <c r="BE69" s="49" t="s">
        <v>514</v>
      </c>
      <c r="BF69" s="49" t="s">
        <v>514</v>
      </c>
      <c r="BG69" s="49"/>
      <c r="BH69" s="49"/>
      <c r="BI69" s="108" t="s">
        <v>2303</v>
      </c>
      <c r="BJ69" s="108" t="s">
        <v>2303</v>
      </c>
      <c r="BK69" s="108" t="s">
        <v>2377</v>
      </c>
      <c r="BL69" s="108" t="s">
        <v>2377</v>
      </c>
      <c r="BM69" s="108">
        <v>0</v>
      </c>
      <c r="BN69" s="111">
        <v>0</v>
      </c>
      <c r="BO69" s="108">
        <v>0</v>
      </c>
      <c r="BP69" s="111">
        <v>0</v>
      </c>
      <c r="BQ69" s="108">
        <v>0</v>
      </c>
      <c r="BR69" s="111">
        <v>0</v>
      </c>
      <c r="BS69" s="108">
        <v>7</v>
      </c>
      <c r="BT69" s="111">
        <v>100</v>
      </c>
      <c r="BU69" s="108">
        <v>7</v>
      </c>
      <c r="BV69" s="2"/>
      <c r="BW69" s="3"/>
      <c r="BX69" s="3"/>
      <c r="BY69" s="3"/>
      <c r="BZ69" s="3"/>
    </row>
    <row r="70" spans="1:78" ht="41.45" customHeight="1">
      <c r="A70" s="65" t="s">
        <v>278</v>
      </c>
      <c r="C70" s="66"/>
      <c r="D70" s="66" t="s">
        <v>64</v>
      </c>
      <c r="E70" s="67">
        <v>163.8637178605703</v>
      </c>
      <c r="F70" s="69"/>
      <c r="G70" s="103" t="str">
        <f>HYPERLINK("https://pbs.twimg.com/profile_images/1443976422989733899/L7-zgxUA_normal.jpg")</f>
        <v>https://pbs.twimg.com/profile_images/1443976422989733899/L7-zgxUA_normal.jpg</v>
      </c>
      <c r="H70" s="66"/>
      <c r="I70" s="70" t="s">
        <v>278</v>
      </c>
      <c r="J70" s="71"/>
      <c r="K70" s="71"/>
      <c r="L70" s="70" t="s">
        <v>1668</v>
      </c>
      <c r="M70" s="74">
        <v>2.4258317265388705</v>
      </c>
      <c r="N70" s="75">
        <v>8571.6064453125</v>
      </c>
      <c r="O70" s="75">
        <v>909.5949096679688</v>
      </c>
      <c r="P70" s="76"/>
      <c r="Q70" s="77"/>
      <c r="R70" s="77"/>
      <c r="S70" s="89"/>
      <c r="T70" s="49">
        <v>2</v>
      </c>
      <c r="U70" s="49">
        <v>1</v>
      </c>
      <c r="V70" s="50">
        <v>0</v>
      </c>
      <c r="W70" s="50">
        <v>1</v>
      </c>
      <c r="X70" s="50">
        <v>0</v>
      </c>
      <c r="Y70" s="50">
        <v>1.298241</v>
      </c>
      <c r="Z70" s="50">
        <v>0</v>
      </c>
      <c r="AA70" s="50">
        <v>0</v>
      </c>
      <c r="AB70" s="72">
        <v>70</v>
      </c>
      <c r="AC70" s="72"/>
      <c r="AD70" s="73"/>
      <c r="AE70" s="79" t="s">
        <v>1081</v>
      </c>
      <c r="AF70" s="88" t="s">
        <v>956</v>
      </c>
      <c r="AG70" s="79">
        <v>3690</v>
      </c>
      <c r="AH70" s="79">
        <v>3694</v>
      </c>
      <c r="AI70" s="79">
        <v>7077</v>
      </c>
      <c r="AJ70" s="79">
        <v>9612</v>
      </c>
      <c r="AK70" s="79"/>
      <c r="AL70" s="79" t="s">
        <v>1404</v>
      </c>
      <c r="AM70" s="79" t="s">
        <v>1547</v>
      </c>
      <c r="AN70" s="84" t="str">
        <f>HYPERLINK("https://t.co/TuWLU1OyeW")</f>
        <v>https://t.co/TuWLU1OyeW</v>
      </c>
      <c r="AO70" s="79"/>
      <c r="AP70" s="81">
        <v>42089.034375</v>
      </c>
      <c r="AQ70" s="84" t="str">
        <f>HYPERLINK("https://pbs.twimg.com/profile_banners/3107963936/1621299337")</f>
        <v>https://pbs.twimg.com/profile_banners/3107963936/1621299337</v>
      </c>
      <c r="AR70" s="79" t="b">
        <v>0</v>
      </c>
      <c r="AS70" s="79" t="b">
        <v>0</v>
      </c>
      <c r="AT70" s="79" t="b">
        <v>1</v>
      </c>
      <c r="AU70" s="79"/>
      <c r="AV70" s="79">
        <v>46</v>
      </c>
      <c r="AW70" s="84" t="str">
        <f>HYPERLINK("https://abs.twimg.com/images/themes/theme14/bg.gif")</f>
        <v>https://abs.twimg.com/images/themes/theme14/bg.gif</v>
      </c>
      <c r="AX70" s="79" t="b">
        <v>0</v>
      </c>
      <c r="AY70" s="79" t="s">
        <v>1601</v>
      </c>
      <c r="AZ70" s="84" t="str">
        <f>HYPERLINK("https://twitter.com/audreyeseybold")</f>
        <v>https://twitter.com/audreyeseybold</v>
      </c>
      <c r="BA70" s="79" t="s">
        <v>66</v>
      </c>
      <c r="BB70" s="79" t="str">
        <f>REPLACE(INDEX(GroupVertices[Group],MATCH(Vertices[[#This Row],[Vertex]],GroupVertices[Vertex],0)),1,1,"")</f>
        <v>22</v>
      </c>
      <c r="BC70" s="49"/>
      <c r="BD70" s="49"/>
      <c r="BE70" s="49"/>
      <c r="BF70" s="49"/>
      <c r="BG70" s="49"/>
      <c r="BH70" s="49"/>
      <c r="BI70" s="108" t="s">
        <v>2304</v>
      </c>
      <c r="BJ70" s="108" t="s">
        <v>2304</v>
      </c>
      <c r="BK70" s="108" t="s">
        <v>2167</v>
      </c>
      <c r="BL70" s="108" t="s">
        <v>2167</v>
      </c>
      <c r="BM70" s="108">
        <v>0</v>
      </c>
      <c r="BN70" s="111">
        <v>0</v>
      </c>
      <c r="BO70" s="108">
        <v>0</v>
      </c>
      <c r="BP70" s="111">
        <v>0</v>
      </c>
      <c r="BQ70" s="108">
        <v>0</v>
      </c>
      <c r="BR70" s="111">
        <v>0</v>
      </c>
      <c r="BS70" s="108">
        <v>8</v>
      </c>
      <c r="BT70" s="111">
        <v>100</v>
      </c>
      <c r="BU70" s="108">
        <v>8</v>
      </c>
      <c r="BV70" s="2"/>
      <c r="BW70" s="3"/>
      <c r="BX70" s="3"/>
      <c r="BY70" s="3"/>
      <c r="BZ70" s="3"/>
    </row>
    <row r="71" spans="1:78" ht="41.45" customHeight="1">
      <c r="A71" s="65" t="s">
        <v>279</v>
      </c>
      <c r="C71" s="66"/>
      <c r="D71" s="66" t="s">
        <v>64</v>
      </c>
      <c r="E71" s="67">
        <v>162.29666109962517</v>
      </c>
      <c r="F71" s="69"/>
      <c r="G71" s="103" t="str">
        <f>HYPERLINK("https://pbs.twimg.com/profile_images/1134386459723608065/k4oaCqnW_normal.jpg")</f>
        <v>https://pbs.twimg.com/profile_images/1134386459723608065/k4oaCqnW_normal.jpg</v>
      </c>
      <c r="H71" s="66"/>
      <c r="I71" s="70" t="s">
        <v>279</v>
      </c>
      <c r="J71" s="71"/>
      <c r="K71" s="71"/>
      <c r="L71" s="70" t="s">
        <v>1669</v>
      </c>
      <c r="M71" s="74">
        <v>1.2269596792649853</v>
      </c>
      <c r="N71" s="75">
        <v>8571.6064453125</v>
      </c>
      <c r="O71" s="75">
        <v>1158.2611083984375</v>
      </c>
      <c r="P71" s="76"/>
      <c r="Q71" s="77"/>
      <c r="R71" s="77"/>
      <c r="S71" s="89"/>
      <c r="T71" s="49">
        <v>0</v>
      </c>
      <c r="U71" s="49">
        <v>1</v>
      </c>
      <c r="V71" s="50">
        <v>0</v>
      </c>
      <c r="W71" s="50">
        <v>1</v>
      </c>
      <c r="X71" s="50">
        <v>0</v>
      </c>
      <c r="Y71" s="50">
        <v>0.701752</v>
      </c>
      <c r="Z71" s="50">
        <v>0</v>
      </c>
      <c r="AA71" s="50">
        <v>0</v>
      </c>
      <c r="AB71" s="72">
        <v>71</v>
      </c>
      <c r="AC71" s="72"/>
      <c r="AD71" s="73"/>
      <c r="AE71" s="79" t="s">
        <v>1082</v>
      </c>
      <c r="AF71" s="88" t="s">
        <v>1244</v>
      </c>
      <c r="AG71" s="79">
        <v>586</v>
      </c>
      <c r="AH71" s="79">
        <v>588</v>
      </c>
      <c r="AI71" s="79">
        <v>4267</v>
      </c>
      <c r="AJ71" s="79">
        <v>14091</v>
      </c>
      <c r="AK71" s="79"/>
      <c r="AL71" s="79" t="s">
        <v>1405</v>
      </c>
      <c r="AM71" s="79" t="s">
        <v>1548</v>
      </c>
      <c r="AN71" s="84" t="str">
        <f>HYPERLINK("https://t.co/lNvsC9XWaH")</f>
        <v>https://t.co/lNvsC9XWaH</v>
      </c>
      <c r="AO71" s="79"/>
      <c r="AP71" s="81">
        <v>43616.379699074074</v>
      </c>
      <c r="AQ71" s="84" t="str">
        <f>HYPERLINK("https://pbs.twimg.com/profile_banners/1134385721651994625/1630090572")</f>
        <v>https://pbs.twimg.com/profile_banners/1134385721651994625/1630090572</v>
      </c>
      <c r="AR71" s="79" t="b">
        <v>1</v>
      </c>
      <c r="AS71" s="79" t="b">
        <v>0</v>
      </c>
      <c r="AT71" s="79" t="b">
        <v>1</v>
      </c>
      <c r="AU71" s="79"/>
      <c r="AV71" s="79">
        <v>3</v>
      </c>
      <c r="AW71" s="79"/>
      <c r="AX71" s="79" t="b">
        <v>0</v>
      </c>
      <c r="AY71" s="79" t="s">
        <v>1601</v>
      </c>
      <c r="AZ71" s="84" t="str">
        <f>HYPERLINK("https://twitter.com/jantjieskyle")</f>
        <v>https://twitter.com/jantjieskyle</v>
      </c>
      <c r="BA71" s="79" t="s">
        <v>66</v>
      </c>
      <c r="BB71" s="79" t="str">
        <f>REPLACE(INDEX(GroupVertices[Group],MATCH(Vertices[[#This Row],[Vertex]],GroupVertices[Vertex],0)),1,1,"")</f>
        <v>22</v>
      </c>
      <c r="BC71" s="49"/>
      <c r="BD71" s="49"/>
      <c r="BE71" s="49"/>
      <c r="BF71" s="49"/>
      <c r="BG71" s="49"/>
      <c r="BH71" s="49"/>
      <c r="BI71" s="108" t="s">
        <v>2305</v>
      </c>
      <c r="BJ71" s="108" t="s">
        <v>2305</v>
      </c>
      <c r="BK71" s="108" t="s">
        <v>2378</v>
      </c>
      <c r="BL71" s="108" t="s">
        <v>2378</v>
      </c>
      <c r="BM71" s="108">
        <v>0</v>
      </c>
      <c r="BN71" s="111">
        <v>0</v>
      </c>
      <c r="BO71" s="108">
        <v>0</v>
      </c>
      <c r="BP71" s="111">
        <v>0</v>
      </c>
      <c r="BQ71" s="108">
        <v>0</v>
      </c>
      <c r="BR71" s="111">
        <v>0</v>
      </c>
      <c r="BS71" s="108">
        <v>9</v>
      </c>
      <c r="BT71" s="111">
        <v>100</v>
      </c>
      <c r="BU71" s="108">
        <v>9</v>
      </c>
      <c r="BV71" s="2"/>
      <c r="BW71" s="3"/>
      <c r="BX71" s="3"/>
      <c r="BY71" s="3"/>
      <c r="BZ71" s="3"/>
    </row>
    <row r="72" spans="1:78" ht="41.45" customHeight="1">
      <c r="A72" s="65" t="s">
        <v>280</v>
      </c>
      <c r="C72" s="66"/>
      <c r="D72" s="66" t="s">
        <v>64</v>
      </c>
      <c r="E72" s="67">
        <v>162.9984563199969</v>
      </c>
      <c r="F72" s="69"/>
      <c r="G72" s="103" t="str">
        <f>HYPERLINK("https://pbs.twimg.com/profile_images/1441367829312245766/Q9z4NC_n_normal.jpg")</f>
        <v>https://pbs.twimg.com/profile_images/1441367829312245766/Q9z4NC_n_normal.jpg</v>
      </c>
      <c r="H72" s="66"/>
      <c r="I72" s="70" t="s">
        <v>280</v>
      </c>
      <c r="J72" s="71"/>
      <c r="K72" s="71"/>
      <c r="L72" s="70" t="s">
        <v>1670</v>
      </c>
      <c r="M72" s="74">
        <v>1.76386599534933</v>
      </c>
      <c r="N72" s="75">
        <v>9375.8740234375</v>
      </c>
      <c r="O72" s="75">
        <v>2421.223876953125</v>
      </c>
      <c r="P72" s="76"/>
      <c r="Q72" s="77"/>
      <c r="R72" s="77"/>
      <c r="S72" s="89"/>
      <c r="T72" s="49">
        <v>0</v>
      </c>
      <c r="U72" s="49">
        <v>1</v>
      </c>
      <c r="V72" s="50">
        <v>0</v>
      </c>
      <c r="W72" s="50">
        <v>1</v>
      </c>
      <c r="X72" s="50">
        <v>0</v>
      </c>
      <c r="Y72" s="50">
        <v>0.999997</v>
      </c>
      <c r="Z72" s="50">
        <v>0</v>
      </c>
      <c r="AA72" s="50">
        <v>0</v>
      </c>
      <c r="AB72" s="72">
        <v>72</v>
      </c>
      <c r="AC72" s="72"/>
      <c r="AD72" s="73"/>
      <c r="AE72" s="79" t="s">
        <v>1083</v>
      </c>
      <c r="AF72" s="88" t="s">
        <v>1245</v>
      </c>
      <c r="AG72" s="79">
        <v>1621</v>
      </c>
      <c r="AH72" s="79">
        <v>1979</v>
      </c>
      <c r="AI72" s="79">
        <v>89095</v>
      </c>
      <c r="AJ72" s="79">
        <v>32538</v>
      </c>
      <c r="AK72" s="79"/>
      <c r="AL72" s="79" t="s">
        <v>1406</v>
      </c>
      <c r="AM72" s="79" t="s">
        <v>1549</v>
      </c>
      <c r="AN72" s="79"/>
      <c r="AO72" s="79"/>
      <c r="AP72" s="81">
        <v>40762.93425925926</v>
      </c>
      <c r="AQ72" s="84" t="str">
        <f>HYPERLINK("https://pbs.twimg.com/profile_banners/350518196/1632484042")</f>
        <v>https://pbs.twimg.com/profile_banners/350518196/1632484042</v>
      </c>
      <c r="AR72" s="79" t="b">
        <v>1</v>
      </c>
      <c r="AS72" s="79" t="b">
        <v>0</v>
      </c>
      <c r="AT72" s="79" t="b">
        <v>0</v>
      </c>
      <c r="AU72" s="79"/>
      <c r="AV72" s="79">
        <v>21</v>
      </c>
      <c r="AW72" s="84" t="str">
        <f>HYPERLINK("https://abs.twimg.com/images/themes/theme1/bg.png")</f>
        <v>https://abs.twimg.com/images/themes/theme1/bg.png</v>
      </c>
      <c r="AX72" s="79" t="b">
        <v>0</v>
      </c>
      <c r="AY72" s="79" t="s">
        <v>1601</v>
      </c>
      <c r="AZ72" s="84" t="str">
        <f>HYPERLINK("https://twitter.com/avf_scooby2000")</f>
        <v>https://twitter.com/avf_scooby2000</v>
      </c>
      <c r="BA72" s="79" t="s">
        <v>66</v>
      </c>
      <c r="BB72" s="79" t="str">
        <f>REPLACE(INDEX(GroupVertices[Group],MATCH(Vertices[[#This Row],[Vertex]],GroupVertices[Vertex],0)),1,1,"")</f>
        <v>21</v>
      </c>
      <c r="BC72" s="49"/>
      <c r="BD72" s="49"/>
      <c r="BE72" s="49"/>
      <c r="BF72" s="49"/>
      <c r="BG72" s="49"/>
      <c r="BH72" s="49"/>
      <c r="BI72" s="108" t="s">
        <v>2306</v>
      </c>
      <c r="BJ72" s="108" t="s">
        <v>2306</v>
      </c>
      <c r="BK72" s="108" t="s">
        <v>2379</v>
      </c>
      <c r="BL72" s="108" t="s">
        <v>2379</v>
      </c>
      <c r="BM72" s="108">
        <v>1</v>
      </c>
      <c r="BN72" s="111">
        <v>3.8461538461538463</v>
      </c>
      <c r="BO72" s="108">
        <v>0</v>
      </c>
      <c r="BP72" s="111">
        <v>0</v>
      </c>
      <c r="BQ72" s="108">
        <v>0</v>
      </c>
      <c r="BR72" s="111">
        <v>0</v>
      </c>
      <c r="BS72" s="108">
        <v>25</v>
      </c>
      <c r="BT72" s="111">
        <v>96.15384615384616</v>
      </c>
      <c r="BU72" s="108">
        <v>26</v>
      </c>
      <c r="BV72" s="2"/>
      <c r="BW72" s="3"/>
      <c r="BX72" s="3"/>
      <c r="BY72" s="3"/>
      <c r="BZ72" s="3"/>
    </row>
    <row r="73" spans="1:78" ht="41.45" customHeight="1">
      <c r="A73" s="65" t="s">
        <v>382</v>
      </c>
      <c r="C73" s="66"/>
      <c r="D73" s="66" t="s">
        <v>64</v>
      </c>
      <c r="E73" s="67">
        <v>177.09944454010497</v>
      </c>
      <c r="F73" s="69"/>
      <c r="G73" s="103" t="str">
        <f>HYPERLINK("https://pbs.twimg.com/profile_images/1409979827948507142/0UAiWqbV_normal.jpg")</f>
        <v>https://pbs.twimg.com/profile_images/1409979827948507142/0UAiWqbV_normal.jpg</v>
      </c>
      <c r="H73" s="66"/>
      <c r="I73" s="70" t="s">
        <v>382</v>
      </c>
      <c r="J73" s="71"/>
      <c r="K73" s="71"/>
      <c r="L73" s="70" t="s">
        <v>1671</v>
      </c>
      <c r="M73" s="74">
        <v>12.551784491568846</v>
      </c>
      <c r="N73" s="75">
        <v>9375.8740234375</v>
      </c>
      <c r="O73" s="75">
        <v>2185.645263671875</v>
      </c>
      <c r="P73" s="76"/>
      <c r="Q73" s="77"/>
      <c r="R73" s="77"/>
      <c r="S73" s="89"/>
      <c r="T73" s="49">
        <v>1</v>
      </c>
      <c r="U73" s="49">
        <v>0</v>
      </c>
      <c r="V73" s="50">
        <v>0</v>
      </c>
      <c r="W73" s="50">
        <v>1</v>
      </c>
      <c r="X73" s="50">
        <v>0</v>
      </c>
      <c r="Y73" s="50">
        <v>0.999997</v>
      </c>
      <c r="Z73" s="50">
        <v>0</v>
      </c>
      <c r="AA73" s="50">
        <v>0</v>
      </c>
      <c r="AB73" s="72">
        <v>73</v>
      </c>
      <c r="AC73" s="72"/>
      <c r="AD73" s="73"/>
      <c r="AE73" s="79" t="s">
        <v>1084</v>
      </c>
      <c r="AF73" s="88" t="s">
        <v>957</v>
      </c>
      <c r="AG73" s="79">
        <v>742</v>
      </c>
      <c r="AH73" s="79">
        <v>29928</v>
      </c>
      <c r="AI73" s="79">
        <v>5886</v>
      </c>
      <c r="AJ73" s="79">
        <v>13634</v>
      </c>
      <c r="AK73" s="79"/>
      <c r="AL73" s="79" t="s">
        <v>1407</v>
      </c>
      <c r="AM73" s="79" t="s">
        <v>1550</v>
      </c>
      <c r="AN73" s="84" t="str">
        <f>HYPERLINK("https://t.co/uA6fonELkj")</f>
        <v>https://t.co/uA6fonELkj</v>
      </c>
      <c r="AO73" s="79"/>
      <c r="AP73" s="81">
        <v>41448.051030092596</v>
      </c>
      <c r="AQ73" s="84" t="str">
        <f>HYPERLINK("https://pbs.twimg.com/profile_banners/1539866125/1622053719")</f>
        <v>https://pbs.twimg.com/profile_banners/1539866125/1622053719</v>
      </c>
      <c r="AR73" s="79" t="b">
        <v>0</v>
      </c>
      <c r="AS73" s="79" t="b">
        <v>0</v>
      </c>
      <c r="AT73" s="79" t="b">
        <v>1</v>
      </c>
      <c r="AU73" s="79"/>
      <c r="AV73" s="79">
        <v>400</v>
      </c>
      <c r="AW73" s="84" t="str">
        <f>HYPERLINK("https://abs.twimg.com/images/themes/theme1/bg.png")</f>
        <v>https://abs.twimg.com/images/themes/theme1/bg.png</v>
      </c>
      <c r="AX73" s="79" t="b">
        <v>1</v>
      </c>
      <c r="AY73" s="79" t="s">
        <v>1601</v>
      </c>
      <c r="AZ73" s="84" t="str">
        <f>HYPERLINK("https://twitter.com/jacyanthis")</f>
        <v>https://twitter.com/jacyanthis</v>
      </c>
      <c r="BA73" s="79" t="s">
        <v>65</v>
      </c>
      <c r="BB73" s="79" t="str">
        <f>REPLACE(INDEX(GroupVertices[Group],MATCH(Vertices[[#This Row],[Vertex]],GroupVertices[Vertex],0)),1,1,"")</f>
        <v>21</v>
      </c>
      <c r="BC73" s="49"/>
      <c r="BD73" s="49"/>
      <c r="BE73" s="49"/>
      <c r="BF73" s="49"/>
      <c r="BG73" s="49"/>
      <c r="BH73" s="49"/>
      <c r="BI73" s="49"/>
      <c r="BJ73" s="49"/>
      <c r="BK73" s="49"/>
      <c r="BL73" s="49"/>
      <c r="BM73" s="49"/>
      <c r="BN73" s="50"/>
      <c r="BO73" s="49"/>
      <c r="BP73" s="50"/>
      <c r="BQ73" s="49"/>
      <c r="BR73" s="50"/>
      <c r="BS73" s="49"/>
      <c r="BT73" s="50"/>
      <c r="BU73" s="49"/>
      <c r="BV73" s="2"/>
      <c r="BW73" s="3"/>
      <c r="BX73" s="3"/>
      <c r="BY73" s="3"/>
      <c r="BZ73" s="3"/>
    </row>
    <row r="74" spans="1:78" ht="41.45" customHeight="1">
      <c r="A74" s="65" t="s">
        <v>281</v>
      </c>
      <c r="C74" s="66"/>
      <c r="D74" s="66" t="s">
        <v>64</v>
      </c>
      <c r="E74" s="67">
        <v>162.0100905135927</v>
      </c>
      <c r="F74" s="69"/>
      <c r="G74" s="103" t="str">
        <f>HYPERLINK("https://pbs.twimg.com/profile_images/943566393122873344/4dyGWW3x_normal.jpg")</f>
        <v>https://pbs.twimg.com/profile_images/943566393122873344/4dyGWW3x_normal.jpg</v>
      </c>
      <c r="H74" s="66"/>
      <c r="I74" s="70" t="s">
        <v>281</v>
      </c>
      <c r="J74" s="71"/>
      <c r="K74" s="71"/>
      <c r="L74" s="70" t="s">
        <v>1672</v>
      </c>
      <c r="M74" s="74">
        <v>1.0077197169818022</v>
      </c>
      <c r="N74" s="75">
        <v>9375.8740234375</v>
      </c>
      <c r="O74" s="75">
        <v>909.5949096679688</v>
      </c>
      <c r="P74" s="76"/>
      <c r="Q74" s="77"/>
      <c r="R74" s="77"/>
      <c r="S74" s="89"/>
      <c r="T74" s="49">
        <v>2</v>
      </c>
      <c r="U74" s="49">
        <v>1</v>
      </c>
      <c r="V74" s="50">
        <v>0</v>
      </c>
      <c r="W74" s="50">
        <v>1</v>
      </c>
      <c r="X74" s="50">
        <v>0</v>
      </c>
      <c r="Y74" s="50">
        <v>1.298241</v>
      </c>
      <c r="Z74" s="50">
        <v>0</v>
      </c>
      <c r="AA74" s="50">
        <v>0</v>
      </c>
      <c r="AB74" s="72">
        <v>74</v>
      </c>
      <c r="AC74" s="72"/>
      <c r="AD74" s="73"/>
      <c r="AE74" s="79" t="s">
        <v>1085</v>
      </c>
      <c r="AF74" s="88" t="s">
        <v>1246</v>
      </c>
      <c r="AG74" s="79">
        <v>233</v>
      </c>
      <c r="AH74" s="79">
        <v>20</v>
      </c>
      <c r="AI74" s="79">
        <v>581</v>
      </c>
      <c r="AJ74" s="79">
        <v>299</v>
      </c>
      <c r="AK74" s="79"/>
      <c r="AL74" s="79" t="s">
        <v>1408</v>
      </c>
      <c r="AM74" s="79" t="s">
        <v>1551</v>
      </c>
      <c r="AN74" s="84" t="str">
        <f>HYPERLINK("https://t.co/sqxSZ7HcBN")</f>
        <v>https://t.co/sqxSZ7HcBN</v>
      </c>
      <c r="AO74" s="79"/>
      <c r="AP74" s="81">
        <v>42655.61953703704</v>
      </c>
      <c r="AQ74" s="84" t="str">
        <f>HYPERLINK("https://pbs.twimg.com/profile_banners/786217898071109632/1586807574")</f>
        <v>https://pbs.twimg.com/profile_banners/786217898071109632/1586807574</v>
      </c>
      <c r="AR74" s="79" t="b">
        <v>0</v>
      </c>
      <c r="AS74" s="79" t="b">
        <v>0</v>
      </c>
      <c r="AT74" s="79" t="b">
        <v>0</v>
      </c>
      <c r="AU74" s="79"/>
      <c r="AV74" s="79">
        <v>0</v>
      </c>
      <c r="AW74" s="84" t="str">
        <f>HYPERLINK("https://abs.twimg.com/images/themes/theme1/bg.png")</f>
        <v>https://abs.twimg.com/images/themes/theme1/bg.png</v>
      </c>
      <c r="AX74" s="79" t="b">
        <v>0</v>
      </c>
      <c r="AY74" s="79" t="s">
        <v>1601</v>
      </c>
      <c r="AZ74" s="84" t="str">
        <f>HYPERLINK("https://twitter.com/culinarycultur1")</f>
        <v>https://twitter.com/culinarycultur1</v>
      </c>
      <c r="BA74" s="79" t="s">
        <v>66</v>
      </c>
      <c r="BB74" s="79" t="str">
        <f>REPLACE(INDEX(GroupVertices[Group],MATCH(Vertices[[#This Row],[Vertex]],GroupVertices[Vertex],0)),1,1,"")</f>
        <v>20</v>
      </c>
      <c r="BC74" s="49" t="s">
        <v>1828</v>
      </c>
      <c r="BD74" s="49" t="s">
        <v>1828</v>
      </c>
      <c r="BE74" s="49" t="s">
        <v>514</v>
      </c>
      <c r="BF74" s="49" t="s">
        <v>514</v>
      </c>
      <c r="BG74" s="49" t="s">
        <v>554</v>
      </c>
      <c r="BH74" s="49" t="s">
        <v>554</v>
      </c>
      <c r="BI74" s="108" t="s">
        <v>2307</v>
      </c>
      <c r="BJ74" s="108" t="s">
        <v>2307</v>
      </c>
      <c r="BK74" s="108" t="s">
        <v>2166</v>
      </c>
      <c r="BL74" s="108" t="s">
        <v>2166</v>
      </c>
      <c r="BM74" s="108">
        <v>1</v>
      </c>
      <c r="BN74" s="111">
        <v>3.8461538461538463</v>
      </c>
      <c r="BO74" s="108">
        <v>0</v>
      </c>
      <c r="BP74" s="111">
        <v>0</v>
      </c>
      <c r="BQ74" s="108">
        <v>0</v>
      </c>
      <c r="BR74" s="111">
        <v>0</v>
      </c>
      <c r="BS74" s="108">
        <v>25</v>
      </c>
      <c r="BT74" s="111">
        <v>96.15384615384616</v>
      </c>
      <c r="BU74" s="108">
        <v>26</v>
      </c>
      <c r="BV74" s="2"/>
      <c r="BW74" s="3"/>
      <c r="BX74" s="3"/>
      <c r="BY74" s="3"/>
      <c r="BZ74" s="3"/>
    </row>
    <row r="75" spans="1:78" ht="41.45" customHeight="1">
      <c r="A75" s="65" t="s">
        <v>282</v>
      </c>
      <c r="C75" s="66"/>
      <c r="D75" s="66" t="s">
        <v>64</v>
      </c>
      <c r="E75" s="67">
        <v>162.0070633595149</v>
      </c>
      <c r="F75" s="69"/>
      <c r="G75" s="103" t="str">
        <f>HYPERLINK("https://pbs.twimg.com/profile_images/1415732051316150272/4wJ4cGoY_normal.jpg")</f>
        <v>https://pbs.twimg.com/profile_images/1415732051316150272/4wJ4cGoY_normal.jpg</v>
      </c>
      <c r="H75" s="66"/>
      <c r="I75" s="70" t="s">
        <v>282</v>
      </c>
      <c r="J75" s="71"/>
      <c r="K75" s="71"/>
      <c r="L75" s="70" t="s">
        <v>1673</v>
      </c>
      <c r="M75" s="74">
        <v>1.0054038018872615</v>
      </c>
      <c r="N75" s="75">
        <v>9375.8740234375</v>
      </c>
      <c r="O75" s="75">
        <v>1158.2611083984375</v>
      </c>
      <c r="P75" s="76"/>
      <c r="Q75" s="77"/>
      <c r="R75" s="77"/>
      <c r="S75" s="89"/>
      <c r="T75" s="49">
        <v>0</v>
      </c>
      <c r="U75" s="49">
        <v>1</v>
      </c>
      <c r="V75" s="50">
        <v>0</v>
      </c>
      <c r="W75" s="50">
        <v>1</v>
      </c>
      <c r="X75" s="50">
        <v>0</v>
      </c>
      <c r="Y75" s="50">
        <v>0.701752</v>
      </c>
      <c r="Z75" s="50">
        <v>0</v>
      </c>
      <c r="AA75" s="50">
        <v>0</v>
      </c>
      <c r="AB75" s="72">
        <v>75</v>
      </c>
      <c r="AC75" s="72"/>
      <c r="AD75" s="73"/>
      <c r="AE75" s="79" t="s">
        <v>1086</v>
      </c>
      <c r="AF75" s="88" t="s">
        <v>1247</v>
      </c>
      <c r="AG75" s="79">
        <v>26</v>
      </c>
      <c r="AH75" s="79">
        <v>14</v>
      </c>
      <c r="AI75" s="79">
        <v>61</v>
      </c>
      <c r="AJ75" s="79">
        <v>437</v>
      </c>
      <c r="AK75" s="79"/>
      <c r="AL75" s="79" t="s">
        <v>1409</v>
      </c>
      <c r="AM75" s="79" t="s">
        <v>1552</v>
      </c>
      <c r="AN75" s="84" t="str">
        <f>HYPERLINK("https://t.co/GXRcW7BVgV")</f>
        <v>https://t.co/GXRcW7BVgV</v>
      </c>
      <c r="AO75" s="79"/>
      <c r="AP75" s="81">
        <v>44392.747245370374</v>
      </c>
      <c r="AQ75" s="84" t="str">
        <f>HYPERLINK("https://pbs.twimg.com/profile_banners/1415731755038904320/1626373535")</f>
        <v>https://pbs.twimg.com/profile_banners/1415731755038904320/1626373535</v>
      </c>
      <c r="AR75" s="79" t="b">
        <v>1</v>
      </c>
      <c r="AS75" s="79" t="b">
        <v>0</v>
      </c>
      <c r="AT75" s="79" t="b">
        <v>0</v>
      </c>
      <c r="AU75" s="79"/>
      <c r="AV75" s="79">
        <v>0</v>
      </c>
      <c r="AW75" s="79"/>
      <c r="AX75" s="79" t="b">
        <v>0</v>
      </c>
      <c r="AY75" s="79" t="s">
        <v>1601</v>
      </c>
      <c r="AZ75" s="84" t="str">
        <f>HYPERLINK("https://twitter.com/sial_america")</f>
        <v>https://twitter.com/sial_america</v>
      </c>
      <c r="BA75" s="79" t="s">
        <v>66</v>
      </c>
      <c r="BB75" s="79" t="str">
        <f>REPLACE(INDEX(GroupVertices[Group],MATCH(Vertices[[#This Row],[Vertex]],GroupVertices[Vertex],0)),1,1,"")</f>
        <v>20</v>
      </c>
      <c r="BC75" s="49" t="s">
        <v>1828</v>
      </c>
      <c r="BD75" s="49" t="s">
        <v>1828</v>
      </c>
      <c r="BE75" s="49" t="s">
        <v>514</v>
      </c>
      <c r="BF75" s="49" t="s">
        <v>514</v>
      </c>
      <c r="BG75" s="49" t="s">
        <v>554</v>
      </c>
      <c r="BH75" s="49" t="s">
        <v>554</v>
      </c>
      <c r="BI75" s="108" t="s">
        <v>2307</v>
      </c>
      <c r="BJ75" s="108" t="s">
        <v>2307</v>
      </c>
      <c r="BK75" s="108" t="s">
        <v>2166</v>
      </c>
      <c r="BL75" s="108" t="s">
        <v>2166</v>
      </c>
      <c r="BM75" s="108">
        <v>1</v>
      </c>
      <c r="BN75" s="111">
        <v>3.8461538461538463</v>
      </c>
      <c r="BO75" s="108">
        <v>0</v>
      </c>
      <c r="BP75" s="111">
        <v>0</v>
      </c>
      <c r="BQ75" s="108">
        <v>0</v>
      </c>
      <c r="BR75" s="111">
        <v>0</v>
      </c>
      <c r="BS75" s="108">
        <v>25</v>
      </c>
      <c r="BT75" s="111">
        <v>96.15384615384616</v>
      </c>
      <c r="BU75" s="108">
        <v>26</v>
      </c>
      <c r="BV75" s="2"/>
      <c r="BW75" s="3"/>
      <c r="BX75" s="3"/>
      <c r="BY75" s="3"/>
      <c r="BZ75" s="3"/>
    </row>
    <row r="76" spans="1:78" ht="41.45" customHeight="1">
      <c r="A76" s="65" t="s">
        <v>283</v>
      </c>
      <c r="C76" s="66"/>
      <c r="D76" s="66" t="s">
        <v>64</v>
      </c>
      <c r="E76" s="67">
        <v>162.1675025256387</v>
      </c>
      <c r="F76" s="69"/>
      <c r="G76" s="103" t="str">
        <f>HYPERLINK("https://pbs.twimg.com/profile_images/1365866667100827650/Sz4fHM1k_normal.jpg")</f>
        <v>https://pbs.twimg.com/profile_images/1365866667100827650/Sz4fHM1k_normal.jpg</v>
      </c>
      <c r="H76" s="66"/>
      <c r="I76" s="70" t="s">
        <v>283</v>
      </c>
      <c r="J76" s="71"/>
      <c r="K76" s="71"/>
      <c r="L76" s="70" t="s">
        <v>1674</v>
      </c>
      <c r="M76" s="74">
        <v>1.128147301897917</v>
      </c>
      <c r="N76" s="75">
        <v>3666.300048828125</v>
      </c>
      <c r="O76" s="75">
        <v>5894.61181640625</v>
      </c>
      <c r="P76" s="76"/>
      <c r="Q76" s="77"/>
      <c r="R76" s="77"/>
      <c r="S76" s="89"/>
      <c r="T76" s="49">
        <v>0</v>
      </c>
      <c r="U76" s="49">
        <v>3</v>
      </c>
      <c r="V76" s="50">
        <v>0.5</v>
      </c>
      <c r="W76" s="50">
        <v>0.004739</v>
      </c>
      <c r="X76" s="50">
        <v>0.000166</v>
      </c>
      <c r="Y76" s="50">
        <v>0.788604</v>
      </c>
      <c r="Z76" s="50">
        <v>0.3333333333333333</v>
      </c>
      <c r="AA76" s="50">
        <v>0</v>
      </c>
      <c r="AB76" s="72">
        <v>76</v>
      </c>
      <c r="AC76" s="72"/>
      <c r="AD76" s="73"/>
      <c r="AE76" s="79" t="s">
        <v>1087</v>
      </c>
      <c r="AF76" s="88" t="s">
        <v>1248</v>
      </c>
      <c r="AG76" s="79">
        <v>50</v>
      </c>
      <c r="AH76" s="79">
        <v>332</v>
      </c>
      <c r="AI76" s="79">
        <v>67988</v>
      </c>
      <c r="AJ76" s="79">
        <v>108741</v>
      </c>
      <c r="AK76" s="79"/>
      <c r="AL76" s="79"/>
      <c r="AM76" s="79"/>
      <c r="AN76" s="79"/>
      <c r="AO76" s="79"/>
      <c r="AP76" s="81">
        <v>40280.8699537037</v>
      </c>
      <c r="AQ76" s="79"/>
      <c r="AR76" s="79" t="b">
        <v>1</v>
      </c>
      <c r="AS76" s="79" t="b">
        <v>0</v>
      </c>
      <c r="AT76" s="79" t="b">
        <v>0</v>
      </c>
      <c r="AU76" s="79"/>
      <c r="AV76" s="79">
        <v>3</v>
      </c>
      <c r="AW76" s="84" t="str">
        <f>HYPERLINK("https://abs.twimg.com/images/themes/theme1/bg.png")</f>
        <v>https://abs.twimg.com/images/themes/theme1/bg.png</v>
      </c>
      <c r="AX76" s="79" t="b">
        <v>0</v>
      </c>
      <c r="AY76" s="79" t="s">
        <v>1601</v>
      </c>
      <c r="AZ76" s="84" t="str">
        <f>HYPERLINK("https://twitter.com/ra_mc")</f>
        <v>https://twitter.com/ra_mc</v>
      </c>
      <c r="BA76" s="79" t="s">
        <v>66</v>
      </c>
      <c r="BB76" s="79" t="str">
        <f>REPLACE(INDEX(GroupVertices[Group],MATCH(Vertices[[#This Row],[Vertex]],GroupVertices[Vertex],0)),1,1,"")</f>
        <v>3</v>
      </c>
      <c r="BC76" s="49"/>
      <c r="BD76" s="49"/>
      <c r="BE76" s="49"/>
      <c r="BF76" s="49"/>
      <c r="BG76" s="49" t="s">
        <v>553</v>
      </c>
      <c r="BH76" s="49" t="s">
        <v>553</v>
      </c>
      <c r="BI76" s="108" t="s">
        <v>2302</v>
      </c>
      <c r="BJ76" s="108" t="s">
        <v>2302</v>
      </c>
      <c r="BK76" s="108" t="s">
        <v>2376</v>
      </c>
      <c r="BL76" s="108" t="s">
        <v>2376</v>
      </c>
      <c r="BM76" s="108">
        <v>3</v>
      </c>
      <c r="BN76" s="111">
        <v>7.894736842105263</v>
      </c>
      <c r="BO76" s="108">
        <v>0</v>
      </c>
      <c r="BP76" s="111">
        <v>0</v>
      </c>
      <c r="BQ76" s="108">
        <v>0</v>
      </c>
      <c r="BR76" s="111">
        <v>0</v>
      </c>
      <c r="BS76" s="108">
        <v>35</v>
      </c>
      <c r="BT76" s="111">
        <v>92.10526315789474</v>
      </c>
      <c r="BU76" s="108">
        <v>38</v>
      </c>
      <c r="BV76" s="2"/>
      <c r="BW76" s="3"/>
      <c r="BX76" s="3"/>
      <c r="BY76" s="3"/>
      <c r="BZ76" s="3"/>
    </row>
    <row r="77" spans="1:78" ht="41.45" customHeight="1">
      <c r="A77" s="65" t="s">
        <v>284</v>
      </c>
      <c r="C77" s="66"/>
      <c r="D77" s="66" t="s">
        <v>64</v>
      </c>
      <c r="E77" s="67">
        <v>165.25318158228404</v>
      </c>
      <c r="F77" s="69"/>
      <c r="G77" s="103" t="str">
        <f>HYPERLINK("https://pbs.twimg.com/profile_images/602921690318786560/FVC_WcM4_normal.png")</f>
        <v>https://pbs.twimg.com/profile_images/602921690318786560/FVC_WcM4_normal.png</v>
      </c>
      <c r="H77" s="66"/>
      <c r="I77" s="70" t="s">
        <v>284</v>
      </c>
      <c r="J77" s="71"/>
      <c r="K77" s="71"/>
      <c r="L77" s="70" t="s">
        <v>1675</v>
      </c>
      <c r="M77" s="74">
        <v>3.4888367549330366</v>
      </c>
      <c r="N77" s="75">
        <v>1600.08154296875</v>
      </c>
      <c r="O77" s="75">
        <v>1145.1734619140625</v>
      </c>
      <c r="P77" s="76"/>
      <c r="Q77" s="77"/>
      <c r="R77" s="77"/>
      <c r="S77" s="89"/>
      <c r="T77" s="49">
        <v>1</v>
      </c>
      <c r="U77" s="49">
        <v>1</v>
      </c>
      <c r="V77" s="50">
        <v>0</v>
      </c>
      <c r="W77" s="50">
        <v>0</v>
      </c>
      <c r="X77" s="50">
        <v>0</v>
      </c>
      <c r="Y77" s="50">
        <v>0.999997</v>
      </c>
      <c r="Z77" s="50">
        <v>0</v>
      </c>
      <c r="AA77" s="50">
        <v>0</v>
      </c>
      <c r="AB77" s="72">
        <v>77</v>
      </c>
      <c r="AC77" s="72"/>
      <c r="AD77" s="73"/>
      <c r="AE77" s="79" t="s">
        <v>1088</v>
      </c>
      <c r="AF77" s="88" t="s">
        <v>1249</v>
      </c>
      <c r="AG77" s="79">
        <v>2924</v>
      </c>
      <c r="AH77" s="79">
        <v>6448</v>
      </c>
      <c r="AI77" s="79">
        <v>69201</v>
      </c>
      <c r="AJ77" s="79">
        <v>0</v>
      </c>
      <c r="AK77" s="79"/>
      <c r="AL77" s="79"/>
      <c r="AM77" s="79"/>
      <c r="AN77" s="79"/>
      <c r="AO77" s="79"/>
      <c r="AP77" s="81">
        <v>42149.81291666667</v>
      </c>
      <c r="AQ77" s="79"/>
      <c r="AR77" s="79" t="b">
        <v>0</v>
      </c>
      <c r="AS77" s="79" t="b">
        <v>0</v>
      </c>
      <c r="AT77" s="79" t="b">
        <v>0</v>
      </c>
      <c r="AU77" s="79"/>
      <c r="AV77" s="79">
        <v>208</v>
      </c>
      <c r="AW77" s="84" t="str">
        <f>HYPERLINK("https://abs.twimg.com/images/themes/theme4/bg.gif")</f>
        <v>https://abs.twimg.com/images/themes/theme4/bg.gif</v>
      </c>
      <c r="AX77" s="79" t="b">
        <v>0</v>
      </c>
      <c r="AY77" s="79" t="s">
        <v>1601</v>
      </c>
      <c r="AZ77" s="84" t="str">
        <f>HYPERLINK("https://twitter.com/3dprintmaven")</f>
        <v>https://twitter.com/3dprintmaven</v>
      </c>
      <c r="BA77" s="79" t="s">
        <v>66</v>
      </c>
      <c r="BB77" s="79" t="str">
        <f>REPLACE(INDEX(GroupVertices[Group],MATCH(Vertices[[#This Row],[Vertex]],GroupVertices[Vertex],0)),1,1,"")</f>
        <v>2</v>
      </c>
      <c r="BC77" s="49" t="s">
        <v>1822</v>
      </c>
      <c r="BD77" s="49" t="s">
        <v>1822</v>
      </c>
      <c r="BE77" s="49" t="s">
        <v>532</v>
      </c>
      <c r="BF77" s="49" t="s">
        <v>532</v>
      </c>
      <c r="BG77" s="49" t="s">
        <v>555</v>
      </c>
      <c r="BH77" s="49" t="s">
        <v>555</v>
      </c>
      <c r="BI77" s="108" t="s">
        <v>2308</v>
      </c>
      <c r="BJ77" s="108" t="s">
        <v>2308</v>
      </c>
      <c r="BK77" s="108" t="s">
        <v>2380</v>
      </c>
      <c r="BL77" s="108" t="s">
        <v>2380</v>
      </c>
      <c r="BM77" s="108">
        <v>0</v>
      </c>
      <c r="BN77" s="111">
        <v>0</v>
      </c>
      <c r="BO77" s="108">
        <v>0</v>
      </c>
      <c r="BP77" s="111">
        <v>0</v>
      </c>
      <c r="BQ77" s="108">
        <v>0</v>
      </c>
      <c r="BR77" s="111">
        <v>0</v>
      </c>
      <c r="BS77" s="108">
        <v>12</v>
      </c>
      <c r="BT77" s="111">
        <v>100</v>
      </c>
      <c r="BU77" s="108">
        <v>12</v>
      </c>
      <c r="BV77" s="2"/>
      <c r="BW77" s="3"/>
      <c r="BX77" s="3"/>
      <c r="BY77" s="3"/>
      <c r="BZ77" s="3"/>
    </row>
    <row r="78" spans="1:78" ht="41.45" customHeight="1">
      <c r="A78" s="65" t="s">
        <v>285</v>
      </c>
      <c r="C78" s="66"/>
      <c r="D78" s="66" t="s">
        <v>64</v>
      </c>
      <c r="E78" s="67">
        <v>162.13067215102538</v>
      </c>
      <c r="F78" s="69"/>
      <c r="G78" s="103" t="str">
        <f>HYPERLINK("https://pbs.twimg.com/profile_images/765875360714067973/mBV3KS6l_normal.jpg")</f>
        <v>https://pbs.twimg.com/profile_images/765875360714067973/mBV3KS6l_normal.jpg</v>
      </c>
      <c r="H78" s="66"/>
      <c r="I78" s="70" t="s">
        <v>285</v>
      </c>
      <c r="J78" s="71"/>
      <c r="K78" s="71"/>
      <c r="L78" s="70" t="s">
        <v>1676</v>
      </c>
      <c r="M78" s="74">
        <v>1.0999703349143388</v>
      </c>
      <c r="N78" s="75">
        <v>1133.944580078125</v>
      </c>
      <c r="O78" s="75">
        <v>2584.820068359375</v>
      </c>
      <c r="P78" s="76"/>
      <c r="Q78" s="77"/>
      <c r="R78" s="77"/>
      <c r="S78" s="89"/>
      <c r="T78" s="49">
        <v>1</v>
      </c>
      <c r="U78" s="49">
        <v>1</v>
      </c>
      <c r="V78" s="50">
        <v>0</v>
      </c>
      <c r="W78" s="50">
        <v>0</v>
      </c>
      <c r="X78" s="50">
        <v>0</v>
      </c>
      <c r="Y78" s="50">
        <v>0.999997</v>
      </c>
      <c r="Z78" s="50">
        <v>0</v>
      </c>
      <c r="AA78" s="50">
        <v>0</v>
      </c>
      <c r="AB78" s="72">
        <v>78</v>
      </c>
      <c r="AC78" s="72"/>
      <c r="AD78" s="73"/>
      <c r="AE78" s="79" t="s">
        <v>1089</v>
      </c>
      <c r="AF78" s="88" t="s">
        <v>1250</v>
      </c>
      <c r="AG78" s="79">
        <v>4</v>
      </c>
      <c r="AH78" s="79">
        <v>259</v>
      </c>
      <c r="AI78" s="79">
        <v>15768</v>
      </c>
      <c r="AJ78" s="79">
        <v>4</v>
      </c>
      <c r="AK78" s="79"/>
      <c r="AL78" s="79" t="s">
        <v>1410</v>
      </c>
      <c r="AM78" s="79"/>
      <c r="AN78" s="84" t="str">
        <f>HYPERLINK("https://t.co/XCnm0c7pzz")</f>
        <v>https://t.co/XCnm0c7pzz</v>
      </c>
      <c r="AO78" s="79"/>
      <c r="AP78" s="81">
        <v>41835.85581018519</v>
      </c>
      <c r="AQ78" s="84" t="str">
        <f>HYPERLINK("https://pbs.twimg.com/profile_banners/2649165692/1471433833")</f>
        <v>https://pbs.twimg.com/profile_banners/2649165692/1471433833</v>
      </c>
      <c r="AR78" s="79" t="b">
        <v>0</v>
      </c>
      <c r="AS78" s="79" t="b">
        <v>0</v>
      </c>
      <c r="AT78" s="79" t="b">
        <v>0</v>
      </c>
      <c r="AU78" s="79"/>
      <c r="AV78" s="79">
        <v>3</v>
      </c>
      <c r="AW78" s="84" t="str">
        <f>HYPERLINK("https://abs.twimg.com/images/themes/theme1/bg.png")</f>
        <v>https://abs.twimg.com/images/themes/theme1/bg.png</v>
      </c>
      <c r="AX78" s="79" t="b">
        <v>0</v>
      </c>
      <c r="AY78" s="79" t="s">
        <v>1601</v>
      </c>
      <c r="AZ78" s="84" t="str">
        <f>HYPERLINK("https://twitter.com/mslisawilliams")</f>
        <v>https://twitter.com/mslisawilliams</v>
      </c>
      <c r="BA78" s="79" t="s">
        <v>66</v>
      </c>
      <c r="BB78" s="79" t="str">
        <f>REPLACE(INDEX(GroupVertices[Group],MATCH(Vertices[[#This Row],[Vertex]],GroupVertices[Vertex],0)),1,1,"")</f>
        <v>2</v>
      </c>
      <c r="BC78" s="49" t="s">
        <v>1822</v>
      </c>
      <c r="BD78" s="49" t="s">
        <v>1822</v>
      </c>
      <c r="BE78" s="49" t="s">
        <v>532</v>
      </c>
      <c r="BF78" s="49" t="s">
        <v>532</v>
      </c>
      <c r="BG78" s="49"/>
      <c r="BH78" s="49"/>
      <c r="BI78" s="108" t="s">
        <v>2309</v>
      </c>
      <c r="BJ78" s="108" t="s">
        <v>2309</v>
      </c>
      <c r="BK78" s="108" t="s">
        <v>2161</v>
      </c>
      <c r="BL78" s="108" t="s">
        <v>2161</v>
      </c>
      <c r="BM78" s="108">
        <v>0</v>
      </c>
      <c r="BN78" s="111">
        <v>0</v>
      </c>
      <c r="BO78" s="108">
        <v>0</v>
      </c>
      <c r="BP78" s="111">
        <v>0</v>
      </c>
      <c r="BQ78" s="108">
        <v>0</v>
      </c>
      <c r="BR78" s="111">
        <v>0</v>
      </c>
      <c r="BS78" s="108">
        <v>11</v>
      </c>
      <c r="BT78" s="111">
        <v>100</v>
      </c>
      <c r="BU78" s="108">
        <v>11</v>
      </c>
      <c r="BV78" s="2"/>
      <c r="BW78" s="3"/>
      <c r="BX78" s="3"/>
      <c r="BY78" s="3"/>
      <c r="BZ78" s="3"/>
    </row>
    <row r="79" spans="1:78" ht="41.45" customHeight="1">
      <c r="A79" s="65" t="s">
        <v>286</v>
      </c>
      <c r="C79" s="66"/>
      <c r="D79" s="66" t="s">
        <v>64</v>
      </c>
      <c r="E79" s="67">
        <v>171.3745916532909</v>
      </c>
      <c r="F79" s="69"/>
      <c r="G79" s="103" t="str">
        <f>HYPERLINK("https://pbs.twimg.com/profile_images/1193985020521791488/nRCt_CqI_normal.jpg")</f>
        <v>https://pbs.twimg.com/profile_images/1193985020521791488/nRCt_CqI_normal.jpg</v>
      </c>
      <c r="H79" s="66"/>
      <c r="I79" s="70" t="s">
        <v>286</v>
      </c>
      <c r="J79" s="71"/>
      <c r="K79" s="71"/>
      <c r="L79" s="70" t="s">
        <v>1677</v>
      </c>
      <c r="M79" s="74">
        <v>8.172003061943354</v>
      </c>
      <c r="N79" s="75">
        <v>8571.6064453125</v>
      </c>
      <c r="O79" s="75">
        <v>3697.274169921875</v>
      </c>
      <c r="P79" s="76"/>
      <c r="Q79" s="77"/>
      <c r="R79" s="77"/>
      <c r="S79" s="89"/>
      <c r="T79" s="49">
        <v>0</v>
      </c>
      <c r="U79" s="49">
        <v>1</v>
      </c>
      <c r="V79" s="50">
        <v>0</v>
      </c>
      <c r="W79" s="50">
        <v>1</v>
      </c>
      <c r="X79" s="50">
        <v>0</v>
      </c>
      <c r="Y79" s="50">
        <v>0.999997</v>
      </c>
      <c r="Z79" s="50">
        <v>0</v>
      </c>
      <c r="AA79" s="50">
        <v>0</v>
      </c>
      <c r="AB79" s="72">
        <v>79</v>
      </c>
      <c r="AC79" s="72"/>
      <c r="AD79" s="73"/>
      <c r="AE79" s="79" t="s">
        <v>1090</v>
      </c>
      <c r="AF79" s="88" t="s">
        <v>1251</v>
      </c>
      <c r="AG79" s="79">
        <v>7424</v>
      </c>
      <c r="AH79" s="79">
        <v>18581</v>
      </c>
      <c r="AI79" s="79">
        <v>34834</v>
      </c>
      <c r="AJ79" s="79">
        <v>5311</v>
      </c>
      <c r="AK79" s="79"/>
      <c r="AL79" s="79" t="s">
        <v>1411</v>
      </c>
      <c r="AM79" s="79"/>
      <c r="AN79" s="84" t="str">
        <f>HYPERLINK("https://t.co/NJ4R2zutyc")</f>
        <v>https://t.co/NJ4R2zutyc</v>
      </c>
      <c r="AO79" s="79"/>
      <c r="AP79" s="81">
        <v>40928.732615740744</v>
      </c>
      <c r="AQ79" s="84" t="str">
        <f>HYPERLINK("https://pbs.twimg.com/profile_banners/469509187/1573505285")</f>
        <v>https://pbs.twimg.com/profile_banners/469509187/1573505285</v>
      </c>
      <c r="AR79" s="79" t="b">
        <v>0</v>
      </c>
      <c r="AS79" s="79" t="b">
        <v>0</v>
      </c>
      <c r="AT79" s="79" t="b">
        <v>0</v>
      </c>
      <c r="AU79" s="79"/>
      <c r="AV79" s="79">
        <v>481</v>
      </c>
      <c r="AW79" s="84" t="str">
        <f>HYPERLINK("https://abs.twimg.com/images/themes/theme14/bg.gif")</f>
        <v>https://abs.twimg.com/images/themes/theme14/bg.gif</v>
      </c>
      <c r="AX79" s="79" t="b">
        <v>0</v>
      </c>
      <c r="AY79" s="79" t="s">
        <v>1601</v>
      </c>
      <c r="AZ79" s="84" t="str">
        <f>HYPERLINK("https://twitter.com/geneticliteracy")</f>
        <v>https://twitter.com/geneticliteracy</v>
      </c>
      <c r="BA79" s="79" t="s">
        <v>66</v>
      </c>
      <c r="BB79" s="79" t="str">
        <f>REPLACE(INDEX(GroupVertices[Group],MATCH(Vertices[[#This Row],[Vertex]],GroupVertices[Vertex],0)),1,1,"")</f>
        <v>19</v>
      </c>
      <c r="BC79" s="49" t="s">
        <v>1892</v>
      </c>
      <c r="BD79" s="49" t="s">
        <v>1892</v>
      </c>
      <c r="BE79" s="49" t="s">
        <v>533</v>
      </c>
      <c r="BF79" s="49" t="s">
        <v>533</v>
      </c>
      <c r="BG79" s="49" t="s">
        <v>1962</v>
      </c>
      <c r="BH79" s="49" t="s">
        <v>1962</v>
      </c>
      <c r="BI79" s="108" t="s">
        <v>2310</v>
      </c>
      <c r="BJ79" s="108" t="s">
        <v>2310</v>
      </c>
      <c r="BK79" s="108" t="s">
        <v>2381</v>
      </c>
      <c r="BL79" s="108" t="s">
        <v>2381</v>
      </c>
      <c r="BM79" s="108">
        <v>0</v>
      </c>
      <c r="BN79" s="111">
        <v>0</v>
      </c>
      <c r="BO79" s="108">
        <v>0</v>
      </c>
      <c r="BP79" s="111">
        <v>0</v>
      </c>
      <c r="BQ79" s="108">
        <v>0</v>
      </c>
      <c r="BR79" s="111">
        <v>0</v>
      </c>
      <c r="BS79" s="108">
        <v>10</v>
      </c>
      <c r="BT79" s="111">
        <v>100</v>
      </c>
      <c r="BU79" s="108">
        <v>10</v>
      </c>
      <c r="BV79" s="2"/>
      <c r="BW79" s="3"/>
      <c r="BX79" s="3"/>
      <c r="BY79" s="3"/>
      <c r="BZ79" s="3"/>
    </row>
    <row r="80" spans="1:78" ht="41.45" customHeight="1">
      <c r="A80" s="65" t="s">
        <v>383</v>
      </c>
      <c r="C80" s="66"/>
      <c r="D80" s="66" t="s">
        <v>64</v>
      </c>
      <c r="E80" s="67">
        <v>182.573043638461</v>
      </c>
      <c r="F80" s="69"/>
      <c r="G80" s="103" t="str">
        <f>HYPERLINK("https://pbs.twimg.com/profile_images/565591473794465792/x56nsDX9_normal.png")</f>
        <v>https://pbs.twimg.com/profile_images/565591473794465792/x56nsDX9_normal.png</v>
      </c>
      <c r="H80" s="66"/>
      <c r="I80" s="70" t="s">
        <v>383</v>
      </c>
      <c r="J80" s="71"/>
      <c r="K80" s="71"/>
      <c r="L80" s="70" t="s">
        <v>1678</v>
      </c>
      <c r="M80" s="74">
        <v>16.73934496834746</v>
      </c>
      <c r="N80" s="75">
        <v>8571.6064453125</v>
      </c>
      <c r="O80" s="75">
        <v>3448.60791015625</v>
      </c>
      <c r="P80" s="76"/>
      <c r="Q80" s="77"/>
      <c r="R80" s="77"/>
      <c r="S80" s="89"/>
      <c r="T80" s="49">
        <v>1</v>
      </c>
      <c r="U80" s="49">
        <v>0</v>
      </c>
      <c r="V80" s="50">
        <v>0</v>
      </c>
      <c r="W80" s="50">
        <v>1</v>
      </c>
      <c r="X80" s="50">
        <v>0</v>
      </c>
      <c r="Y80" s="50">
        <v>0.999997</v>
      </c>
      <c r="Z80" s="50">
        <v>0</v>
      </c>
      <c r="AA80" s="50">
        <v>0</v>
      </c>
      <c r="AB80" s="72">
        <v>80</v>
      </c>
      <c r="AC80" s="72"/>
      <c r="AD80" s="73"/>
      <c r="AE80" s="79" t="s">
        <v>1091</v>
      </c>
      <c r="AF80" s="88" t="s">
        <v>1252</v>
      </c>
      <c r="AG80" s="79">
        <v>2181</v>
      </c>
      <c r="AH80" s="79">
        <v>40777</v>
      </c>
      <c r="AI80" s="79">
        <v>18383</v>
      </c>
      <c r="AJ80" s="79">
        <v>352</v>
      </c>
      <c r="AK80" s="79"/>
      <c r="AL80" s="79" t="s">
        <v>1412</v>
      </c>
      <c r="AM80" s="79" t="s">
        <v>1553</v>
      </c>
      <c r="AN80" s="84" t="str">
        <f>HYPERLINK("http://t.co/mU9EOwsvxM")</f>
        <v>http://t.co/mU9EOwsvxM</v>
      </c>
      <c r="AO80" s="79"/>
      <c r="AP80" s="81">
        <v>39822.843564814815</v>
      </c>
      <c r="AQ80" s="84" t="str">
        <f>HYPERLINK("https://pbs.twimg.com/profile_banners/18813482/1617732314")</f>
        <v>https://pbs.twimg.com/profile_banners/18813482/1617732314</v>
      </c>
      <c r="AR80" s="79" t="b">
        <v>0</v>
      </c>
      <c r="AS80" s="79" t="b">
        <v>0</v>
      </c>
      <c r="AT80" s="79" t="b">
        <v>0</v>
      </c>
      <c r="AU80" s="79"/>
      <c r="AV80" s="79">
        <v>1317</v>
      </c>
      <c r="AW80" s="84" t="str">
        <f>HYPERLINK("https://abs.twimg.com/images/themes/theme1/bg.png")</f>
        <v>https://abs.twimg.com/images/themes/theme1/bg.png</v>
      </c>
      <c r="AX80" s="79" t="b">
        <v>0</v>
      </c>
      <c r="AY80" s="79" t="s">
        <v>1601</v>
      </c>
      <c r="AZ80" s="84" t="str">
        <f>HYPERLINK("https://twitter.com/foodsafetynews")</f>
        <v>https://twitter.com/foodsafetynews</v>
      </c>
      <c r="BA80" s="79" t="s">
        <v>65</v>
      </c>
      <c r="BB80" s="79" t="str">
        <f>REPLACE(INDEX(GroupVertices[Group],MATCH(Vertices[[#This Row],[Vertex]],GroupVertices[Vertex],0)),1,1,"")</f>
        <v>19</v>
      </c>
      <c r="BC80" s="49"/>
      <c r="BD80" s="49"/>
      <c r="BE80" s="49"/>
      <c r="BF80" s="49"/>
      <c r="BG80" s="49"/>
      <c r="BH80" s="49"/>
      <c r="BI80" s="49"/>
      <c r="BJ80" s="49"/>
      <c r="BK80" s="49"/>
      <c r="BL80" s="49"/>
      <c r="BM80" s="49"/>
      <c r="BN80" s="50"/>
      <c r="BO80" s="49"/>
      <c r="BP80" s="50"/>
      <c r="BQ80" s="49"/>
      <c r="BR80" s="50"/>
      <c r="BS80" s="49"/>
      <c r="BT80" s="50"/>
      <c r="BU80" s="49"/>
      <c r="BV80" s="2"/>
      <c r="BW80" s="3"/>
      <c r="BX80" s="3"/>
      <c r="BY80" s="3"/>
      <c r="BZ80" s="3"/>
    </row>
    <row r="81" spans="1:78" ht="41.45" customHeight="1">
      <c r="A81" s="65" t="s">
        <v>287</v>
      </c>
      <c r="C81" s="66"/>
      <c r="D81" s="66" t="s">
        <v>64</v>
      </c>
      <c r="E81" s="67">
        <v>162.07063359514885</v>
      </c>
      <c r="F81" s="69"/>
      <c r="G81" s="103" t="str">
        <f>HYPERLINK("https://pbs.twimg.com/profile_images/1230266433734615041/TIrQHT40_normal.jpg")</f>
        <v>https://pbs.twimg.com/profile_images/1230266433734615041/TIrQHT40_normal.jpg</v>
      </c>
      <c r="H81" s="66"/>
      <c r="I81" s="70" t="s">
        <v>287</v>
      </c>
      <c r="J81" s="71"/>
      <c r="K81" s="71"/>
      <c r="L81" s="70" t="s">
        <v>1679</v>
      </c>
      <c r="M81" s="74">
        <v>1.0540380188726155</v>
      </c>
      <c r="N81" s="75">
        <v>6785.5537109375</v>
      </c>
      <c r="O81" s="75">
        <v>1472.3658447265625</v>
      </c>
      <c r="P81" s="76"/>
      <c r="Q81" s="77"/>
      <c r="R81" s="77"/>
      <c r="S81" s="89"/>
      <c r="T81" s="49">
        <v>0</v>
      </c>
      <c r="U81" s="49">
        <v>1</v>
      </c>
      <c r="V81" s="50">
        <v>0</v>
      </c>
      <c r="W81" s="50">
        <v>0.333333</v>
      </c>
      <c r="X81" s="50">
        <v>0</v>
      </c>
      <c r="Y81" s="50">
        <v>0.638296</v>
      </c>
      <c r="Z81" s="50">
        <v>0</v>
      </c>
      <c r="AA81" s="50">
        <v>0</v>
      </c>
      <c r="AB81" s="72">
        <v>81</v>
      </c>
      <c r="AC81" s="72"/>
      <c r="AD81" s="73"/>
      <c r="AE81" s="79" t="s">
        <v>1092</v>
      </c>
      <c r="AF81" s="88" t="s">
        <v>1253</v>
      </c>
      <c r="AG81" s="79">
        <v>581</v>
      </c>
      <c r="AH81" s="79">
        <v>140</v>
      </c>
      <c r="AI81" s="79">
        <v>8839</v>
      </c>
      <c r="AJ81" s="79">
        <v>3277</v>
      </c>
      <c r="AK81" s="79"/>
      <c r="AL81" s="79" t="s">
        <v>1413</v>
      </c>
      <c r="AM81" s="79" t="s">
        <v>1554</v>
      </c>
      <c r="AN81" s="84" t="str">
        <f>HYPERLINK("https://t.co/mRNk68ihJo")</f>
        <v>https://t.co/mRNk68ihJo</v>
      </c>
      <c r="AO81" s="79"/>
      <c r="AP81" s="81">
        <v>43880.857152777775</v>
      </c>
      <c r="AQ81" s="84" t="str">
        <f>HYPERLINK("https://pbs.twimg.com/profile_banners/1230229067166822403/1582163287")</f>
        <v>https://pbs.twimg.com/profile_banners/1230229067166822403/1582163287</v>
      </c>
      <c r="AR81" s="79" t="b">
        <v>1</v>
      </c>
      <c r="AS81" s="79" t="b">
        <v>0</v>
      </c>
      <c r="AT81" s="79" t="b">
        <v>0</v>
      </c>
      <c r="AU81" s="79"/>
      <c r="AV81" s="79">
        <v>4</v>
      </c>
      <c r="AW81" s="79"/>
      <c r="AX81" s="79" t="b">
        <v>0</v>
      </c>
      <c r="AY81" s="79" t="s">
        <v>1601</v>
      </c>
      <c r="AZ81" s="84" t="str">
        <f>HYPERLINK("https://twitter.com/vsnnj")</f>
        <v>https://twitter.com/vsnnj</v>
      </c>
      <c r="BA81" s="79" t="s">
        <v>66</v>
      </c>
      <c r="BB81" s="79" t="str">
        <f>REPLACE(INDEX(GroupVertices[Group],MATCH(Vertices[[#This Row],[Vertex]],GroupVertices[Vertex],0)),1,1,"")</f>
        <v>13</v>
      </c>
      <c r="BC81" s="49" t="s">
        <v>1889</v>
      </c>
      <c r="BD81" s="49" t="s">
        <v>1889</v>
      </c>
      <c r="BE81" s="49" t="s">
        <v>532</v>
      </c>
      <c r="BF81" s="49" t="s">
        <v>532</v>
      </c>
      <c r="BG81" s="49"/>
      <c r="BH81" s="49"/>
      <c r="BI81" s="108" t="s">
        <v>2309</v>
      </c>
      <c r="BJ81" s="108" t="s">
        <v>2309</v>
      </c>
      <c r="BK81" s="108" t="s">
        <v>2161</v>
      </c>
      <c r="BL81" s="108" t="s">
        <v>2161</v>
      </c>
      <c r="BM81" s="108">
        <v>0</v>
      </c>
      <c r="BN81" s="111">
        <v>0</v>
      </c>
      <c r="BO81" s="108">
        <v>0</v>
      </c>
      <c r="BP81" s="111">
        <v>0</v>
      </c>
      <c r="BQ81" s="108">
        <v>0</v>
      </c>
      <c r="BR81" s="111">
        <v>0</v>
      </c>
      <c r="BS81" s="108">
        <v>11</v>
      </c>
      <c r="BT81" s="111">
        <v>100</v>
      </c>
      <c r="BU81" s="108">
        <v>11</v>
      </c>
      <c r="BV81" s="2"/>
      <c r="BW81" s="3"/>
      <c r="BX81" s="3"/>
      <c r="BY81" s="3"/>
      <c r="BZ81" s="3"/>
    </row>
    <row r="82" spans="1:78" ht="41.45" customHeight="1">
      <c r="A82" s="65" t="s">
        <v>288</v>
      </c>
      <c r="C82" s="66"/>
      <c r="D82" s="66" t="s">
        <v>64</v>
      </c>
      <c r="E82" s="67">
        <v>162.1675025256387</v>
      </c>
      <c r="F82" s="69"/>
      <c r="G82" s="103" t="str">
        <f>HYPERLINK("https://pbs.twimg.com/profile_images/1219445189154045957/TMMjAC3T_normal.jpg")</f>
        <v>https://pbs.twimg.com/profile_images/1219445189154045957/TMMjAC3T_normal.jpg</v>
      </c>
      <c r="H82" s="66"/>
      <c r="I82" s="70" t="s">
        <v>288</v>
      </c>
      <c r="J82" s="71"/>
      <c r="K82" s="71"/>
      <c r="L82" s="70" t="s">
        <v>1680</v>
      </c>
      <c r="M82" s="74">
        <v>1.128147301897917</v>
      </c>
      <c r="N82" s="75">
        <v>7024.6591796875</v>
      </c>
      <c r="O82" s="75">
        <v>1472.3658447265625</v>
      </c>
      <c r="P82" s="76"/>
      <c r="Q82" s="77"/>
      <c r="R82" s="77"/>
      <c r="S82" s="89"/>
      <c r="T82" s="49">
        <v>3</v>
      </c>
      <c r="U82" s="49">
        <v>1</v>
      </c>
      <c r="V82" s="50">
        <v>2</v>
      </c>
      <c r="W82" s="50">
        <v>0.5</v>
      </c>
      <c r="X82" s="50">
        <v>0</v>
      </c>
      <c r="Y82" s="50">
        <v>1.723399</v>
      </c>
      <c r="Z82" s="50">
        <v>0</v>
      </c>
      <c r="AA82" s="50">
        <v>0</v>
      </c>
      <c r="AB82" s="72">
        <v>82</v>
      </c>
      <c r="AC82" s="72"/>
      <c r="AD82" s="73"/>
      <c r="AE82" s="79" t="s">
        <v>1093</v>
      </c>
      <c r="AF82" s="88" t="s">
        <v>1254</v>
      </c>
      <c r="AG82" s="79">
        <v>720</v>
      </c>
      <c r="AH82" s="79">
        <v>332</v>
      </c>
      <c r="AI82" s="79">
        <v>77269</v>
      </c>
      <c r="AJ82" s="79">
        <v>10204</v>
      </c>
      <c r="AK82" s="79"/>
      <c r="AL82" s="79" t="s">
        <v>1414</v>
      </c>
      <c r="AM82" s="79" t="s">
        <v>1554</v>
      </c>
      <c r="AN82" s="84" t="str">
        <f>HYPERLINK("https://t.co/OM5RdvRiBg")</f>
        <v>https://t.co/OM5RdvRiBg</v>
      </c>
      <c r="AO82" s="79"/>
      <c r="AP82" s="81">
        <v>43851.01375</v>
      </c>
      <c r="AQ82" s="84" t="str">
        <f>HYPERLINK("https://pbs.twimg.com/profile_banners/1219414172091539460/1579573313")</f>
        <v>https://pbs.twimg.com/profile_banners/1219414172091539460/1579573313</v>
      </c>
      <c r="AR82" s="79" t="b">
        <v>1</v>
      </c>
      <c r="AS82" s="79" t="b">
        <v>0</v>
      </c>
      <c r="AT82" s="79" t="b">
        <v>0</v>
      </c>
      <c r="AU82" s="79"/>
      <c r="AV82" s="79">
        <v>8</v>
      </c>
      <c r="AW82" s="79"/>
      <c r="AX82" s="79" t="b">
        <v>0</v>
      </c>
      <c r="AY82" s="79" t="s">
        <v>1601</v>
      </c>
      <c r="AZ82" s="84" t="str">
        <f>HYPERLINK("https://twitter.com/verdantsquare")</f>
        <v>https://twitter.com/verdantsquare</v>
      </c>
      <c r="BA82" s="79" t="s">
        <v>66</v>
      </c>
      <c r="BB82" s="79" t="str">
        <f>REPLACE(INDEX(GroupVertices[Group],MATCH(Vertices[[#This Row],[Vertex]],GroupVertices[Vertex],0)),1,1,"")</f>
        <v>13</v>
      </c>
      <c r="BC82" s="49" t="s">
        <v>1889</v>
      </c>
      <c r="BD82" s="49" t="s">
        <v>1889</v>
      </c>
      <c r="BE82" s="49" t="s">
        <v>532</v>
      </c>
      <c r="BF82" s="49" t="s">
        <v>532</v>
      </c>
      <c r="BG82" s="49"/>
      <c r="BH82" s="49"/>
      <c r="BI82" s="108" t="s">
        <v>2309</v>
      </c>
      <c r="BJ82" s="108" t="s">
        <v>2309</v>
      </c>
      <c r="BK82" s="108" t="s">
        <v>2161</v>
      </c>
      <c r="BL82" s="108" t="s">
        <v>2161</v>
      </c>
      <c r="BM82" s="108">
        <v>0</v>
      </c>
      <c r="BN82" s="111">
        <v>0</v>
      </c>
      <c r="BO82" s="108">
        <v>0</v>
      </c>
      <c r="BP82" s="111">
        <v>0</v>
      </c>
      <c r="BQ82" s="108">
        <v>0</v>
      </c>
      <c r="BR82" s="111">
        <v>0</v>
      </c>
      <c r="BS82" s="108">
        <v>11</v>
      </c>
      <c r="BT82" s="111">
        <v>100</v>
      </c>
      <c r="BU82" s="108">
        <v>11</v>
      </c>
      <c r="BV82" s="2"/>
      <c r="BW82" s="3"/>
      <c r="BX82" s="3"/>
      <c r="BY82" s="3"/>
      <c r="BZ82" s="3"/>
    </row>
    <row r="83" spans="1:78" ht="41.45" customHeight="1">
      <c r="A83" s="65" t="s">
        <v>289</v>
      </c>
      <c r="C83" s="66"/>
      <c r="D83" s="66" t="s">
        <v>64</v>
      </c>
      <c r="E83" s="67">
        <v>162.2911113171492</v>
      </c>
      <c r="F83" s="69"/>
      <c r="G83" s="103" t="str">
        <f>HYPERLINK("https://pbs.twimg.com/profile_images/750422618726096898/86ZevkJb_normal.jpg")</f>
        <v>https://pbs.twimg.com/profile_images/750422618726096898/86ZevkJb_normal.jpg</v>
      </c>
      <c r="H83" s="66"/>
      <c r="I83" s="70" t="s">
        <v>289</v>
      </c>
      <c r="J83" s="71"/>
      <c r="K83" s="71"/>
      <c r="L83" s="70" t="s">
        <v>1681</v>
      </c>
      <c r="M83" s="74">
        <v>1.2227138349249942</v>
      </c>
      <c r="N83" s="75">
        <v>6785.5537109375</v>
      </c>
      <c r="O83" s="75">
        <v>1014.2964477539062</v>
      </c>
      <c r="P83" s="76"/>
      <c r="Q83" s="77"/>
      <c r="R83" s="77"/>
      <c r="S83" s="89"/>
      <c r="T83" s="49">
        <v>0</v>
      </c>
      <c r="U83" s="49">
        <v>1</v>
      </c>
      <c r="V83" s="50">
        <v>0</v>
      </c>
      <c r="W83" s="50">
        <v>0.333333</v>
      </c>
      <c r="X83" s="50">
        <v>0</v>
      </c>
      <c r="Y83" s="50">
        <v>0.638296</v>
      </c>
      <c r="Z83" s="50">
        <v>0</v>
      </c>
      <c r="AA83" s="50">
        <v>0</v>
      </c>
      <c r="AB83" s="72">
        <v>83</v>
      </c>
      <c r="AC83" s="72"/>
      <c r="AD83" s="73"/>
      <c r="AE83" s="79" t="s">
        <v>1094</v>
      </c>
      <c r="AF83" s="88" t="s">
        <v>1255</v>
      </c>
      <c r="AG83" s="79">
        <v>437</v>
      </c>
      <c r="AH83" s="79">
        <v>577</v>
      </c>
      <c r="AI83" s="79">
        <v>164699</v>
      </c>
      <c r="AJ83" s="79">
        <v>3461</v>
      </c>
      <c r="AK83" s="79"/>
      <c r="AL83" s="79" t="s">
        <v>1415</v>
      </c>
      <c r="AM83" s="79" t="s">
        <v>1555</v>
      </c>
      <c r="AN83" s="84" t="str">
        <f>HYPERLINK("https://t.co/wwVsEFwOtZ")</f>
        <v>https://t.co/wwVsEFwOtZ</v>
      </c>
      <c r="AO83" s="79"/>
      <c r="AP83" s="81">
        <v>40373.33614583333</v>
      </c>
      <c r="AQ83" s="84" t="str">
        <f>HYPERLINK("https://pbs.twimg.com/profile_banners/166488367/1611603298")</f>
        <v>https://pbs.twimg.com/profile_banners/166488367/1611603298</v>
      </c>
      <c r="AR83" s="79" t="b">
        <v>0</v>
      </c>
      <c r="AS83" s="79" t="b">
        <v>0</v>
      </c>
      <c r="AT83" s="79" t="b">
        <v>0</v>
      </c>
      <c r="AU83" s="79"/>
      <c r="AV83" s="79">
        <v>142</v>
      </c>
      <c r="AW83" s="84" t="str">
        <f>HYPERLINK("https://abs.twimg.com/images/themes/theme1/bg.png")</f>
        <v>https://abs.twimg.com/images/themes/theme1/bg.png</v>
      </c>
      <c r="AX83" s="79" t="b">
        <v>0</v>
      </c>
      <c r="AY83" s="79" t="s">
        <v>1601</v>
      </c>
      <c r="AZ83" s="84" t="str">
        <f>HYPERLINK("https://twitter.com/vsnpenn")</f>
        <v>https://twitter.com/vsnpenn</v>
      </c>
      <c r="BA83" s="79" t="s">
        <v>66</v>
      </c>
      <c r="BB83" s="79" t="str">
        <f>REPLACE(INDEX(GroupVertices[Group],MATCH(Vertices[[#This Row],[Vertex]],GroupVertices[Vertex],0)),1,1,"")</f>
        <v>13</v>
      </c>
      <c r="BC83" s="49" t="s">
        <v>1889</v>
      </c>
      <c r="BD83" s="49" t="s">
        <v>1889</v>
      </c>
      <c r="BE83" s="49" t="s">
        <v>532</v>
      </c>
      <c r="BF83" s="49" t="s">
        <v>532</v>
      </c>
      <c r="BG83" s="49"/>
      <c r="BH83" s="49"/>
      <c r="BI83" s="108" t="s">
        <v>2309</v>
      </c>
      <c r="BJ83" s="108" t="s">
        <v>2309</v>
      </c>
      <c r="BK83" s="108" t="s">
        <v>2161</v>
      </c>
      <c r="BL83" s="108" t="s">
        <v>2161</v>
      </c>
      <c r="BM83" s="108">
        <v>0</v>
      </c>
      <c r="BN83" s="111">
        <v>0</v>
      </c>
      <c r="BO83" s="108">
        <v>0</v>
      </c>
      <c r="BP83" s="111">
        <v>0</v>
      </c>
      <c r="BQ83" s="108">
        <v>0</v>
      </c>
      <c r="BR83" s="111">
        <v>0</v>
      </c>
      <c r="BS83" s="108">
        <v>11</v>
      </c>
      <c r="BT83" s="111">
        <v>100</v>
      </c>
      <c r="BU83" s="108">
        <v>11</v>
      </c>
      <c r="BV83" s="2"/>
      <c r="BW83" s="3"/>
      <c r="BX83" s="3"/>
      <c r="BY83" s="3"/>
      <c r="BZ83" s="3"/>
    </row>
    <row r="84" spans="1:78" ht="41.45" customHeight="1">
      <c r="A84" s="65" t="s">
        <v>290</v>
      </c>
      <c r="C84" s="66"/>
      <c r="D84" s="66" t="s">
        <v>64</v>
      </c>
      <c r="E84" s="67">
        <v>162.3450955648701</v>
      </c>
      <c r="F84" s="69"/>
      <c r="G84" s="103" t="str">
        <f>HYPERLINK("https://pbs.twimg.com/profile_images/926539314036596736/ax78FrbV_normal.jpg")</f>
        <v>https://pbs.twimg.com/profile_images/926539314036596736/ax78FrbV_normal.jpg</v>
      </c>
      <c r="H84" s="66"/>
      <c r="I84" s="70" t="s">
        <v>290</v>
      </c>
      <c r="J84" s="71"/>
      <c r="K84" s="71"/>
      <c r="L84" s="70" t="s">
        <v>1682</v>
      </c>
      <c r="M84" s="74">
        <v>1.264014320777636</v>
      </c>
      <c r="N84" s="75">
        <v>667.8076171875</v>
      </c>
      <c r="O84" s="75">
        <v>1864.9967041015625</v>
      </c>
      <c r="P84" s="76"/>
      <c r="Q84" s="77"/>
      <c r="R84" s="77"/>
      <c r="S84" s="89"/>
      <c r="T84" s="49">
        <v>1</v>
      </c>
      <c r="U84" s="49">
        <v>1</v>
      </c>
      <c r="V84" s="50">
        <v>0</v>
      </c>
      <c r="W84" s="50">
        <v>0</v>
      </c>
      <c r="X84" s="50">
        <v>0</v>
      </c>
      <c r="Y84" s="50">
        <v>0.999997</v>
      </c>
      <c r="Z84" s="50">
        <v>0</v>
      </c>
      <c r="AA84" s="50">
        <v>0</v>
      </c>
      <c r="AB84" s="72">
        <v>84</v>
      </c>
      <c r="AC84" s="72"/>
      <c r="AD84" s="73"/>
      <c r="AE84" s="79" t="s">
        <v>987</v>
      </c>
      <c r="AF84" s="88" t="s">
        <v>1256</v>
      </c>
      <c r="AG84" s="79">
        <v>1285</v>
      </c>
      <c r="AH84" s="79">
        <v>684</v>
      </c>
      <c r="AI84" s="79">
        <v>30263</v>
      </c>
      <c r="AJ84" s="79">
        <v>29</v>
      </c>
      <c r="AK84" s="79"/>
      <c r="AL84" s="79" t="s">
        <v>1416</v>
      </c>
      <c r="AM84" s="79"/>
      <c r="AN84" s="84" t="str">
        <f>HYPERLINK("https://t.co/QjdWg3TFF6")</f>
        <v>https://t.co/QjdWg3TFF6</v>
      </c>
      <c r="AO84" s="79"/>
      <c r="AP84" s="81">
        <v>43042.80236111111</v>
      </c>
      <c r="AQ84" s="84" t="str">
        <f>HYPERLINK("https://pbs.twimg.com/profile_banners/926528254378471426/1509739207")</f>
        <v>https://pbs.twimg.com/profile_banners/926528254378471426/1509739207</v>
      </c>
      <c r="AR84" s="79" t="b">
        <v>0</v>
      </c>
      <c r="AS84" s="79" t="b">
        <v>0</v>
      </c>
      <c r="AT84" s="79" t="b">
        <v>0</v>
      </c>
      <c r="AU84" s="79"/>
      <c r="AV84" s="79">
        <v>14</v>
      </c>
      <c r="AW84" s="84" t="str">
        <f>HYPERLINK("https://abs.twimg.com/images/themes/theme1/bg.png")</f>
        <v>https://abs.twimg.com/images/themes/theme1/bg.png</v>
      </c>
      <c r="AX84" s="79" t="b">
        <v>0</v>
      </c>
      <c r="AY84" s="79" t="s">
        <v>1601</v>
      </c>
      <c r="AZ84" s="84" t="str">
        <f>HYPERLINK("https://twitter.com/veganinsight")</f>
        <v>https://twitter.com/veganinsight</v>
      </c>
      <c r="BA84" s="79" t="s">
        <v>66</v>
      </c>
      <c r="BB84" s="79" t="str">
        <f>REPLACE(INDEX(GroupVertices[Group],MATCH(Vertices[[#This Row],[Vertex]],GroupVertices[Vertex],0)),1,1,"")</f>
        <v>2</v>
      </c>
      <c r="BC84" s="49" t="s">
        <v>2249</v>
      </c>
      <c r="BD84" s="49" t="s">
        <v>2249</v>
      </c>
      <c r="BE84" s="49" t="s">
        <v>534</v>
      </c>
      <c r="BF84" s="49" t="s">
        <v>534</v>
      </c>
      <c r="BG84" s="49"/>
      <c r="BH84" s="49"/>
      <c r="BI84" s="108" t="s">
        <v>2309</v>
      </c>
      <c r="BJ84" s="108" t="s">
        <v>2309</v>
      </c>
      <c r="BK84" s="108" t="s">
        <v>2161</v>
      </c>
      <c r="BL84" s="108" t="s">
        <v>2161</v>
      </c>
      <c r="BM84" s="108">
        <v>0</v>
      </c>
      <c r="BN84" s="111">
        <v>0</v>
      </c>
      <c r="BO84" s="108">
        <v>0</v>
      </c>
      <c r="BP84" s="111">
        <v>0</v>
      </c>
      <c r="BQ84" s="108">
        <v>0</v>
      </c>
      <c r="BR84" s="111">
        <v>0</v>
      </c>
      <c r="BS84" s="108">
        <v>11</v>
      </c>
      <c r="BT84" s="111">
        <v>100</v>
      </c>
      <c r="BU84" s="108">
        <v>11</v>
      </c>
      <c r="BV84" s="2"/>
      <c r="BW84" s="3"/>
      <c r="BX84" s="3"/>
      <c r="BY84" s="3"/>
      <c r="BZ84" s="3"/>
    </row>
    <row r="85" spans="1:78" ht="41.45" customHeight="1">
      <c r="A85" s="65" t="s">
        <v>291</v>
      </c>
      <c r="C85" s="66"/>
      <c r="D85" s="66" t="s">
        <v>64</v>
      </c>
      <c r="E85" s="67">
        <v>162.54488773400539</v>
      </c>
      <c r="F85" s="69"/>
      <c r="G85" s="103" t="str">
        <f>HYPERLINK("https://pbs.twimg.com/profile_images/268566826/Blue_Shiva2_normal.jpg")</f>
        <v>https://pbs.twimg.com/profile_images/268566826/Blue_Shiva2_normal.jpg</v>
      </c>
      <c r="H85" s="66"/>
      <c r="I85" s="70" t="s">
        <v>291</v>
      </c>
      <c r="J85" s="71"/>
      <c r="K85" s="71"/>
      <c r="L85" s="70" t="s">
        <v>1683</v>
      </c>
      <c r="M85" s="74">
        <v>1.41686471701732</v>
      </c>
      <c r="N85" s="75">
        <v>7024.6591796875</v>
      </c>
      <c r="O85" s="75">
        <v>3154.134765625</v>
      </c>
      <c r="P85" s="76"/>
      <c r="Q85" s="77"/>
      <c r="R85" s="77"/>
      <c r="S85" s="89"/>
      <c r="T85" s="49">
        <v>0</v>
      </c>
      <c r="U85" s="49">
        <v>1</v>
      </c>
      <c r="V85" s="50">
        <v>0</v>
      </c>
      <c r="W85" s="50">
        <v>0.333333</v>
      </c>
      <c r="X85" s="50">
        <v>0</v>
      </c>
      <c r="Y85" s="50">
        <v>0.638296</v>
      </c>
      <c r="Z85" s="50">
        <v>0</v>
      </c>
      <c r="AA85" s="50">
        <v>0</v>
      </c>
      <c r="AB85" s="72">
        <v>85</v>
      </c>
      <c r="AC85" s="72"/>
      <c r="AD85" s="73"/>
      <c r="AE85" s="79" t="s">
        <v>1095</v>
      </c>
      <c r="AF85" s="88" t="s">
        <v>1257</v>
      </c>
      <c r="AG85" s="79">
        <v>4972</v>
      </c>
      <c r="AH85" s="79">
        <v>1080</v>
      </c>
      <c r="AI85" s="79">
        <v>44401</v>
      </c>
      <c r="AJ85" s="79">
        <v>131081</v>
      </c>
      <c r="AK85" s="79"/>
      <c r="AL85" s="79" t="s">
        <v>1417</v>
      </c>
      <c r="AM85" s="79"/>
      <c r="AN85" s="79"/>
      <c r="AO85" s="79"/>
      <c r="AP85" s="81">
        <v>39981.681909722225</v>
      </c>
      <c r="AQ85" s="84" t="str">
        <f>HYPERLINK("https://pbs.twimg.com/profile_banners/48014371/1583343316")</f>
        <v>https://pbs.twimg.com/profile_banners/48014371/1583343316</v>
      </c>
      <c r="AR85" s="79" t="b">
        <v>0</v>
      </c>
      <c r="AS85" s="79" t="b">
        <v>0</v>
      </c>
      <c r="AT85" s="79" t="b">
        <v>0</v>
      </c>
      <c r="AU85" s="79"/>
      <c r="AV85" s="79">
        <v>2</v>
      </c>
      <c r="AW85" s="84" t="str">
        <f>HYPERLINK("https://abs.twimg.com/images/themes/theme12/bg.gif")</f>
        <v>https://abs.twimg.com/images/themes/theme12/bg.gif</v>
      </c>
      <c r="AX85" s="79" t="b">
        <v>0</v>
      </c>
      <c r="AY85" s="79" t="s">
        <v>1601</v>
      </c>
      <c r="AZ85" s="84" t="str">
        <f>HYPERLINK("https://twitter.com/moongin2100")</f>
        <v>https://twitter.com/moongin2100</v>
      </c>
      <c r="BA85" s="79" t="s">
        <v>66</v>
      </c>
      <c r="BB85" s="79" t="str">
        <f>REPLACE(INDEX(GroupVertices[Group],MATCH(Vertices[[#This Row],[Vertex]],GroupVertices[Vertex],0)),1,1,"")</f>
        <v>12</v>
      </c>
      <c r="BC85" s="49" t="s">
        <v>1888</v>
      </c>
      <c r="BD85" s="49" t="s">
        <v>1888</v>
      </c>
      <c r="BE85" s="49" t="s">
        <v>525</v>
      </c>
      <c r="BF85" s="49" t="s">
        <v>525</v>
      </c>
      <c r="BG85" s="49" t="s">
        <v>557</v>
      </c>
      <c r="BH85" s="49" t="s">
        <v>557</v>
      </c>
      <c r="BI85" s="108" t="s">
        <v>2311</v>
      </c>
      <c r="BJ85" s="108" t="s">
        <v>2311</v>
      </c>
      <c r="BK85" s="108" t="s">
        <v>2160</v>
      </c>
      <c r="BL85" s="108" t="s">
        <v>2160</v>
      </c>
      <c r="BM85" s="108">
        <v>0</v>
      </c>
      <c r="BN85" s="111">
        <v>0</v>
      </c>
      <c r="BO85" s="108">
        <v>0</v>
      </c>
      <c r="BP85" s="111">
        <v>0</v>
      </c>
      <c r="BQ85" s="108">
        <v>0</v>
      </c>
      <c r="BR85" s="111">
        <v>0</v>
      </c>
      <c r="BS85" s="108">
        <v>12</v>
      </c>
      <c r="BT85" s="111">
        <v>100</v>
      </c>
      <c r="BU85" s="108">
        <v>12</v>
      </c>
      <c r="BV85" s="2"/>
      <c r="BW85" s="3"/>
      <c r="BX85" s="3"/>
      <c r="BY85" s="3"/>
      <c r="BZ85" s="3"/>
    </row>
    <row r="86" spans="1:78" ht="41.45" customHeight="1">
      <c r="A86" s="65" t="s">
        <v>328</v>
      </c>
      <c r="C86" s="66"/>
      <c r="D86" s="66" t="s">
        <v>64</v>
      </c>
      <c r="E86" s="67">
        <v>174.74431866757055</v>
      </c>
      <c r="F86" s="69"/>
      <c r="G86" s="103" t="str">
        <f>HYPERLINK("https://pbs.twimg.com/profile_images/1136814607778009088/XObXnzfP_normal.png")</f>
        <v>https://pbs.twimg.com/profile_images/1136814607778009088/XObXnzfP_normal.png</v>
      </c>
      <c r="H86" s="66"/>
      <c r="I86" s="70" t="s">
        <v>328</v>
      </c>
      <c r="J86" s="71"/>
      <c r="K86" s="71"/>
      <c r="L86" s="70" t="s">
        <v>1684</v>
      </c>
      <c r="M86" s="74">
        <v>10.750002548016207</v>
      </c>
      <c r="N86" s="75">
        <v>6785.5537109375</v>
      </c>
      <c r="O86" s="75">
        <v>2709.153076171875</v>
      </c>
      <c r="P86" s="76"/>
      <c r="Q86" s="77"/>
      <c r="R86" s="77"/>
      <c r="S86" s="89"/>
      <c r="T86" s="49">
        <v>3</v>
      </c>
      <c r="U86" s="49">
        <v>1</v>
      </c>
      <c r="V86" s="50">
        <v>2</v>
      </c>
      <c r="W86" s="50">
        <v>0.5</v>
      </c>
      <c r="X86" s="50">
        <v>0</v>
      </c>
      <c r="Y86" s="50">
        <v>1.723399</v>
      </c>
      <c r="Z86" s="50">
        <v>0</v>
      </c>
      <c r="AA86" s="50">
        <v>0</v>
      </c>
      <c r="AB86" s="72">
        <v>86</v>
      </c>
      <c r="AC86" s="72"/>
      <c r="AD86" s="73"/>
      <c r="AE86" s="79" t="s">
        <v>1096</v>
      </c>
      <c r="AF86" s="88" t="s">
        <v>1258</v>
      </c>
      <c r="AG86" s="79">
        <v>22610</v>
      </c>
      <c r="AH86" s="79">
        <v>25260</v>
      </c>
      <c r="AI86" s="79">
        <v>162671</v>
      </c>
      <c r="AJ86" s="79">
        <v>135548</v>
      </c>
      <c r="AK86" s="79"/>
      <c r="AL86" s="79" t="s">
        <v>1418</v>
      </c>
      <c r="AM86" s="79" t="s">
        <v>1522</v>
      </c>
      <c r="AN86" s="84" t="str">
        <f>HYPERLINK("https://t.co/Exy045PZz2")</f>
        <v>https://t.co/Exy045PZz2</v>
      </c>
      <c r="AO86" s="79"/>
      <c r="AP86" s="81">
        <v>41786.727627314816</v>
      </c>
      <c r="AQ86" s="84" t="str">
        <f>HYPERLINK("https://pbs.twimg.com/profile_banners/2527904352/1624660748")</f>
        <v>https://pbs.twimg.com/profile_banners/2527904352/1624660748</v>
      </c>
      <c r="AR86" s="79" t="b">
        <v>0</v>
      </c>
      <c r="AS86" s="79" t="b">
        <v>0</v>
      </c>
      <c r="AT86" s="79" t="b">
        <v>1</v>
      </c>
      <c r="AU86" s="79"/>
      <c r="AV86" s="79">
        <v>532</v>
      </c>
      <c r="AW86" s="84" t="str">
        <f>HYPERLINK("https://abs.twimg.com/images/themes/theme1/bg.png")</f>
        <v>https://abs.twimg.com/images/themes/theme1/bg.png</v>
      </c>
      <c r="AX86" s="79" t="b">
        <v>0</v>
      </c>
      <c r="AY86" s="79" t="s">
        <v>1601</v>
      </c>
      <c r="AZ86" s="84" t="str">
        <f>HYPERLINK("https://twitter.com/earthaccounting")</f>
        <v>https://twitter.com/earthaccounting</v>
      </c>
      <c r="BA86" s="79" t="s">
        <v>66</v>
      </c>
      <c r="BB86" s="79" t="str">
        <f>REPLACE(INDEX(GroupVertices[Group],MATCH(Vertices[[#This Row],[Vertex]],GroupVertices[Vertex],0)),1,1,"")</f>
        <v>12</v>
      </c>
      <c r="BC86" s="49" t="s">
        <v>1888</v>
      </c>
      <c r="BD86" s="49" t="s">
        <v>1888</v>
      </c>
      <c r="BE86" s="49" t="s">
        <v>525</v>
      </c>
      <c r="BF86" s="49" t="s">
        <v>525</v>
      </c>
      <c r="BG86" s="49" t="s">
        <v>557</v>
      </c>
      <c r="BH86" s="49" t="s">
        <v>557</v>
      </c>
      <c r="BI86" s="108" t="s">
        <v>2311</v>
      </c>
      <c r="BJ86" s="108" t="s">
        <v>2311</v>
      </c>
      <c r="BK86" s="108" t="s">
        <v>2160</v>
      </c>
      <c r="BL86" s="108" t="s">
        <v>2160</v>
      </c>
      <c r="BM86" s="108">
        <v>0</v>
      </c>
      <c r="BN86" s="111">
        <v>0</v>
      </c>
      <c r="BO86" s="108">
        <v>0</v>
      </c>
      <c r="BP86" s="111">
        <v>0</v>
      </c>
      <c r="BQ86" s="108">
        <v>0</v>
      </c>
      <c r="BR86" s="111">
        <v>0</v>
      </c>
      <c r="BS86" s="108">
        <v>24</v>
      </c>
      <c r="BT86" s="111">
        <v>100</v>
      </c>
      <c r="BU86" s="108">
        <v>24</v>
      </c>
      <c r="BV86" s="2"/>
      <c r="BW86" s="3"/>
      <c r="BX86" s="3"/>
      <c r="BY86" s="3"/>
      <c r="BZ86" s="3"/>
    </row>
    <row r="87" spans="1:78" ht="41.45" customHeight="1">
      <c r="A87" s="65" t="s">
        <v>292</v>
      </c>
      <c r="C87" s="66"/>
      <c r="D87" s="66" t="s">
        <v>64</v>
      </c>
      <c r="E87" s="67">
        <v>162.5403470028887</v>
      </c>
      <c r="F87" s="69"/>
      <c r="G87" s="103" t="str">
        <f>HYPERLINK("https://pbs.twimg.com/profile_images/1425616439764037637/-E-nV6_6_normal.jpg")</f>
        <v>https://pbs.twimg.com/profile_images/1425616439764037637/-E-nV6_6_normal.jpg</v>
      </c>
      <c r="H87" s="66"/>
      <c r="I87" s="70" t="s">
        <v>292</v>
      </c>
      <c r="J87" s="71"/>
      <c r="K87" s="71"/>
      <c r="L87" s="70" t="s">
        <v>1685</v>
      </c>
      <c r="M87" s="74">
        <v>1.413390844375509</v>
      </c>
      <c r="N87" s="75">
        <v>9143.697265625</v>
      </c>
      <c r="O87" s="75">
        <v>8318.314453125</v>
      </c>
      <c r="P87" s="76"/>
      <c r="Q87" s="77"/>
      <c r="R87" s="77"/>
      <c r="S87" s="89"/>
      <c r="T87" s="49">
        <v>0</v>
      </c>
      <c r="U87" s="49">
        <v>5</v>
      </c>
      <c r="V87" s="50">
        <v>20</v>
      </c>
      <c r="W87" s="50">
        <v>0.2</v>
      </c>
      <c r="X87" s="50">
        <v>0</v>
      </c>
      <c r="Y87" s="50">
        <v>2.837829</v>
      </c>
      <c r="Z87" s="50">
        <v>0</v>
      </c>
      <c r="AA87" s="50">
        <v>0</v>
      </c>
      <c r="AB87" s="72">
        <v>87</v>
      </c>
      <c r="AC87" s="72"/>
      <c r="AD87" s="73"/>
      <c r="AE87" s="79" t="s">
        <v>1097</v>
      </c>
      <c r="AF87" s="88" t="s">
        <v>1259</v>
      </c>
      <c r="AG87" s="79">
        <v>3140</v>
      </c>
      <c r="AH87" s="79">
        <v>1071</v>
      </c>
      <c r="AI87" s="79">
        <v>95991</v>
      </c>
      <c r="AJ87" s="79">
        <v>37465</v>
      </c>
      <c r="AK87" s="79"/>
      <c r="AL87" s="79" t="s">
        <v>1419</v>
      </c>
      <c r="AM87" s="79" t="s">
        <v>1556</v>
      </c>
      <c r="AN87" s="79"/>
      <c r="AO87" s="79"/>
      <c r="AP87" s="81">
        <v>39934.05537037037</v>
      </c>
      <c r="AQ87" s="84" t="str">
        <f>HYPERLINK("https://pbs.twimg.com/profile_banners/36840596/1601709795")</f>
        <v>https://pbs.twimg.com/profile_banners/36840596/1601709795</v>
      </c>
      <c r="AR87" s="79" t="b">
        <v>0</v>
      </c>
      <c r="AS87" s="79" t="b">
        <v>0</v>
      </c>
      <c r="AT87" s="79" t="b">
        <v>0</v>
      </c>
      <c r="AU87" s="79"/>
      <c r="AV87" s="79">
        <v>4</v>
      </c>
      <c r="AW87" s="84" t="str">
        <f>HYPERLINK("https://abs.twimg.com/images/themes/theme1/bg.png")</f>
        <v>https://abs.twimg.com/images/themes/theme1/bg.png</v>
      </c>
      <c r="AX87" s="79" t="b">
        <v>0</v>
      </c>
      <c r="AY87" s="79" t="s">
        <v>1601</v>
      </c>
      <c r="AZ87" s="84" t="str">
        <f>HYPERLINK("https://twitter.com/ings4palin")</f>
        <v>https://twitter.com/ings4palin</v>
      </c>
      <c r="BA87" s="79" t="s">
        <v>66</v>
      </c>
      <c r="BB87" s="79" t="str">
        <f>REPLACE(INDEX(GroupVertices[Group],MATCH(Vertices[[#This Row],[Vertex]],GroupVertices[Vertex],0)),1,1,"")</f>
        <v>9</v>
      </c>
      <c r="BC87" s="49" t="s">
        <v>1822</v>
      </c>
      <c r="BD87" s="49" t="s">
        <v>1822</v>
      </c>
      <c r="BE87" s="49" t="s">
        <v>532</v>
      </c>
      <c r="BF87" s="49" t="s">
        <v>532</v>
      </c>
      <c r="BG87" s="49"/>
      <c r="BH87" s="49"/>
      <c r="BI87" s="108" t="s">
        <v>2312</v>
      </c>
      <c r="BJ87" s="108" t="s">
        <v>2312</v>
      </c>
      <c r="BK87" s="108" t="s">
        <v>2382</v>
      </c>
      <c r="BL87" s="108" t="s">
        <v>2382</v>
      </c>
      <c r="BM87" s="108">
        <v>1</v>
      </c>
      <c r="BN87" s="111">
        <v>10</v>
      </c>
      <c r="BO87" s="108">
        <v>2</v>
      </c>
      <c r="BP87" s="111">
        <v>20</v>
      </c>
      <c r="BQ87" s="108">
        <v>0</v>
      </c>
      <c r="BR87" s="111">
        <v>0</v>
      </c>
      <c r="BS87" s="108">
        <v>7</v>
      </c>
      <c r="BT87" s="111">
        <v>70</v>
      </c>
      <c r="BU87" s="108">
        <v>10</v>
      </c>
      <c r="BV87" s="2"/>
      <c r="BW87" s="3"/>
      <c r="BX87" s="3"/>
      <c r="BY87" s="3"/>
      <c r="BZ87" s="3"/>
    </row>
    <row r="88" spans="1:78" ht="41.45" customHeight="1">
      <c r="A88" s="65" t="s">
        <v>384</v>
      </c>
      <c r="C88" s="66"/>
      <c r="D88" s="66" t="s">
        <v>64</v>
      </c>
      <c r="E88" s="67">
        <v>1000</v>
      </c>
      <c r="F88" s="69"/>
      <c r="G88" s="103" t="str">
        <f>HYPERLINK("https://pbs.twimg.com/profile_images/552307347851210752/vrXDcTFC_normal.jpeg")</f>
        <v>https://pbs.twimg.com/profile_images/552307347851210752/vrXDcTFC_normal.jpeg</v>
      </c>
      <c r="H88" s="66"/>
      <c r="I88" s="70" t="s">
        <v>384</v>
      </c>
      <c r="J88" s="71"/>
      <c r="K88" s="71"/>
      <c r="L88" s="70" t="s">
        <v>1686</v>
      </c>
      <c r="M88" s="74">
        <v>2920.4132332534336</v>
      </c>
      <c r="N88" s="75">
        <v>9168.0078125</v>
      </c>
      <c r="O88" s="75">
        <v>9027.3701171875</v>
      </c>
      <c r="P88" s="76"/>
      <c r="Q88" s="77"/>
      <c r="R88" s="77"/>
      <c r="S88" s="89"/>
      <c r="T88" s="49">
        <v>1</v>
      </c>
      <c r="U88" s="49">
        <v>0</v>
      </c>
      <c r="V88" s="50">
        <v>0</v>
      </c>
      <c r="W88" s="50">
        <v>0.111111</v>
      </c>
      <c r="X88" s="50">
        <v>0</v>
      </c>
      <c r="Y88" s="50">
        <v>0.63243</v>
      </c>
      <c r="Z88" s="50">
        <v>0</v>
      </c>
      <c r="AA88" s="50">
        <v>0</v>
      </c>
      <c r="AB88" s="72">
        <v>88</v>
      </c>
      <c r="AC88" s="72"/>
      <c r="AD88" s="73"/>
      <c r="AE88" s="79" t="s">
        <v>1098</v>
      </c>
      <c r="AF88" s="88" t="s">
        <v>1260</v>
      </c>
      <c r="AG88" s="79">
        <v>3872</v>
      </c>
      <c r="AH88" s="79">
        <v>7563524</v>
      </c>
      <c r="AI88" s="79">
        <v>45769</v>
      </c>
      <c r="AJ88" s="79">
        <v>902</v>
      </c>
      <c r="AK88" s="79"/>
      <c r="AL88" s="79" t="s">
        <v>1420</v>
      </c>
      <c r="AM88" s="79"/>
      <c r="AN88" s="84" t="str">
        <f>HYPERLINK("https://t.co/UoPqZeUr22")</f>
        <v>https://t.co/UoPqZeUr22</v>
      </c>
      <c r="AO88" s="79"/>
      <c r="AP88" s="81">
        <v>39800.167905092596</v>
      </c>
      <c r="AQ88" s="84" t="str">
        <f>HYPERLINK("https://pbs.twimg.com/profile_banners/18208354/1536958228")</f>
        <v>https://pbs.twimg.com/profile_banners/18208354/1536958228</v>
      </c>
      <c r="AR88" s="79" t="b">
        <v>0</v>
      </c>
      <c r="AS88" s="79" t="b">
        <v>0</v>
      </c>
      <c r="AT88" s="79" t="b">
        <v>0</v>
      </c>
      <c r="AU88" s="79"/>
      <c r="AV88" s="79">
        <v>21603</v>
      </c>
      <c r="AW88" s="84" t="str">
        <f>HYPERLINK("https://abs.twimg.com/images/themes/theme1/bg.png")</f>
        <v>https://abs.twimg.com/images/themes/theme1/bg.png</v>
      </c>
      <c r="AX88" s="79" t="b">
        <v>1</v>
      </c>
      <c r="AY88" s="79" t="s">
        <v>1601</v>
      </c>
      <c r="AZ88" s="84" t="str">
        <f>HYPERLINK("https://twitter.com/joerogan")</f>
        <v>https://twitter.com/joerogan</v>
      </c>
      <c r="BA88" s="79" t="s">
        <v>65</v>
      </c>
      <c r="BB88" s="79" t="str">
        <f>REPLACE(INDEX(GroupVertices[Group],MATCH(Vertices[[#This Row],[Vertex]],GroupVertices[Vertex],0)),1,1,"")</f>
        <v>9</v>
      </c>
      <c r="BC88" s="49"/>
      <c r="BD88" s="49"/>
      <c r="BE88" s="49"/>
      <c r="BF88" s="49"/>
      <c r="BG88" s="49"/>
      <c r="BH88" s="49"/>
      <c r="BI88" s="49"/>
      <c r="BJ88" s="49"/>
      <c r="BK88" s="49"/>
      <c r="BL88" s="49"/>
      <c r="BM88" s="49"/>
      <c r="BN88" s="50"/>
      <c r="BO88" s="49"/>
      <c r="BP88" s="50"/>
      <c r="BQ88" s="49"/>
      <c r="BR88" s="50"/>
      <c r="BS88" s="49"/>
      <c r="BT88" s="50"/>
      <c r="BU88" s="49"/>
      <c r="BV88" s="2"/>
      <c r="BW88" s="3"/>
      <c r="BX88" s="3"/>
      <c r="BY88" s="3"/>
      <c r="BZ88" s="3"/>
    </row>
    <row r="89" spans="1:78" ht="41.45" customHeight="1">
      <c r="A89" s="65" t="s">
        <v>385</v>
      </c>
      <c r="C89" s="66"/>
      <c r="D89" s="66" t="s">
        <v>64</v>
      </c>
      <c r="E89" s="67">
        <v>185.02251581308707</v>
      </c>
      <c r="F89" s="69"/>
      <c r="G89" s="103" t="str">
        <f>HYPERLINK("https://pbs.twimg.com/profile_images/1428248568607936513/gGEtfY7V_normal.jpg")</f>
        <v>https://pbs.twimg.com/profile_images/1428248568607936513/gGEtfY7V_normal.jpg</v>
      </c>
      <c r="H89" s="66"/>
      <c r="I89" s="70" t="s">
        <v>385</v>
      </c>
      <c r="J89" s="71"/>
      <c r="K89" s="71"/>
      <c r="L89" s="70" t="s">
        <v>1687</v>
      </c>
      <c r="M89" s="74">
        <v>18.613306265679952</v>
      </c>
      <c r="N89" s="75">
        <v>8738.2568359375</v>
      </c>
      <c r="O89" s="75">
        <v>8642.798828125</v>
      </c>
      <c r="P89" s="76"/>
      <c r="Q89" s="77"/>
      <c r="R89" s="77"/>
      <c r="S89" s="89"/>
      <c r="T89" s="49">
        <v>1</v>
      </c>
      <c r="U89" s="49">
        <v>0</v>
      </c>
      <c r="V89" s="50">
        <v>0</v>
      </c>
      <c r="W89" s="50">
        <v>0.111111</v>
      </c>
      <c r="X89" s="50">
        <v>0</v>
      </c>
      <c r="Y89" s="50">
        <v>0.63243</v>
      </c>
      <c r="Z89" s="50">
        <v>0</v>
      </c>
      <c r="AA89" s="50">
        <v>0</v>
      </c>
      <c r="AB89" s="72">
        <v>89</v>
      </c>
      <c r="AC89" s="72"/>
      <c r="AD89" s="73"/>
      <c r="AE89" s="79" t="s">
        <v>1099</v>
      </c>
      <c r="AF89" s="88" t="s">
        <v>1261</v>
      </c>
      <c r="AG89" s="79">
        <v>3096</v>
      </c>
      <c r="AH89" s="79">
        <v>45632</v>
      </c>
      <c r="AI89" s="79">
        <v>33646</v>
      </c>
      <c r="AJ89" s="79">
        <v>54557</v>
      </c>
      <c r="AK89" s="79"/>
      <c r="AL89" s="79" t="s">
        <v>1421</v>
      </c>
      <c r="AM89" s="79" t="s">
        <v>1557</v>
      </c>
      <c r="AN89" s="84" t="str">
        <f>HYPERLINK("https://t.co/qamIga2Rpq")</f>
        <v>https://t.co/qamIga2Rpq</v>
      </c>
      <c r="AO89" s="79"/>
      <c r="AP89" s="81">
        <v>39912.99616898148</v>
      </c>
      <c r="AQ89" s="84" t="str">
        <f>HYPERLINK("https://pbs.twimg.com/profile_banners/30101738/1633732478")</f>
        <v>https://pbs.twimg.com/profile_banners/30101738/1633732478</v>
      </c>
      <c r="AR89" s="79" t="b">
        <v>0</v>
      </c>
      <c r="AS89" s="79" t="b">
        <v>0</v>
      </c>
      <c r="AT89" s="79" t="b">
        <v>1</v>
      </c>
      <c r="AU89" s="79"/>
      <c r="AV89" s="79">
        <v>254</v>
      </c>
      <c r="AW89" s="84" t="str">
        <f>HYPERLINK("https://abs.twimg.com/images/themes/theme9/bg.gif")</f>
        <v>https://abs.twimg.com/images/themes/theme9/bg.gif</v>
      </c>
      <c r="AX89" s="79" t="b">
        <v>1</v>
      </c>
      <c r="AY89" s="79" t="s">
        <v>1601</v>
      </c>
      <c r="AZ89" s="84" t="str">
        <f>HYPERLINK("https://twitter.com/jakecoco")</f>
        <v>https://twitter.com/jakecoco</v>
      </c>
      <c r="BA89" s="79" t="s">
        <v>65</v>
      </c>
      <c r="BB89" s="79" t="str">
        <f>REPLACE(INDEX(GroupVertices[Group],MATCH(Vertices[[#This Row],[Vertex]],GroupVertices[Vertex],0)),1,1,"")</f>
        <v>9</v>
      </c>
      <c r="BC89" s="49"/>
      <c r="BD89" s="49"/>
      <c r="BE89" s="49"/>
      <c r="BF89" s="49"/>
      <c r="BG89" s="49"/>
      <c r="BH89" s="49"/>
      <c r="BI89" s="49"/>
      <c r="BJ89" s="49"/>
      <c r="BK89" s="49"/>
      <c r="BL89" s="49"/>
      <c r="BM89" s="49"/>
      <c r="BN89" s="50"/>
      <c r="BO89" s="49"/>
      <c r="BP89" s="50"/>
      <c r="BQ89" s="49"/>
      <c r="BR89" s="50"/>
      <c r="BS89" s="49"/>
      <c r="BT89" s="50"/>
      <c r="BU89" s="49"/>
      <c r="BV89" s="2"/>
      <c r="BW89" s="3"/>
      <c r="BX89" s="3"/>
      <c r="BY89" s="3"/>
      <c r="BZ89" s="3"/>
    </row>
    <row r="90" spans="1:78" ht="41.45" customHeight="1">
      <c r="A90" s="65" t="s">
        <v>386</v>
      </c>
      <c r="C90" s="66"/>
      <c r="D90" s="66" t="s">
        <v>64</v>
      </c>
      <c r="E90" s="67">
        <v>164.05796024722963</v>
      </c>
      <c r="F90" s="69"/>
      <c r="G90" s="103" t="str">
        <f>HYPERLINK("https://pbs.twimg.com/profile_images/1430175444331008013/UWEXAP8s_normal.jpg")</f>
        <v>https://pbs.twimg.com/profile_images/1430175444331008013/UWEXAP8s_normal.jpg</v>
      </c>
      <c r="H90" s="66"/>
      <c r="I90" s="70" t="s">
        <v>386</v>
      </c>
      <c r="J90" s="71"/>
      <c r="K90" s="71"/>
      <c r="L90" s="70" t="s">
        <v>1688</v>
      </c>
      <c r="M90" s="74">
        <v>2.5744362784385633</v>
      </c>
      <c r="N90" s="75">
        <v>8868.90234375</v>
      </c>
      <c r="O90" s="75">
        <v>7623.169921875</v>
      </c>
      <c r="P90" s="76"/>
      <c r="Q90" s="77"/>
      <c r="R90" s="77"/>
      <c r="S90" s="89"/>
      <c r="T90" s="49">
        <v>1</v>
      </c>
      <c r="U90" s="49">
        <v>0</v>
      </c>
      <c r="V90" s="50">
        <v>0</v>
      </c>
      <c r="W90" s="50">
        <v>0.111111</v>
      </c>
      <c r="X90" s="50">
        <v>0</v>
      </c>
      <c r="Y90" s="50">
        <v>0.63243</v>
      </c>
      <c r="Z90" s="50">
        <v>0</v>
      </c>
      <c r="AA90" s="50">
        <v>0</v>
      </c>
      <c r="AB90" s="72">
        <v>90</v>
      </c>
      <c r="AC90" s="72"/>
      <c r="AD90" s="73"/>
      <c r="AE90" s="79" t="s">
        <v>1100</v>
      </c>
      <c r="AF90" s="88" t="s">
        <v>1262</v>
      </c>
      <c r="AG90" s="79">
        <v>3452</v>
      </c>
      <c r="AH90" s="79">
        <v>4079</v>
      </c>
      <c r="AI90" s="79">
        <v>3737</v>
      </c>
      <c r="AJ90" s="79">
        <v>13128</v>
      </c>
      <c r="AK90" s="79"/>
      <c r="AL90" s="79" t="s">
        <v>1422</v>
      </c>
      <c r="AM90" s="79"/>
      <c r="AN90" s="79"/>
      <c r="AO90" s="79"/>
      <c r="AP90" s="81">
        <v>44432.602847222224</v>
      </c>
      <c r="AQ90" s="84" t="str">
        <f>HYPERLINK("https://pbs.twimg.com/profile_banners/1430174965643497495/1630634723")</f>
        <v>https://pbs.twimg.com/profile_banners/1430174965643497495/1630634723</v>
      </c>
      <c r="AR90" s="79" t="b">
        <v>1</v>
      </c>
      <c r="AS90" s="79" t="b">
        <v>0</v>
      </c>
      <c r="AT90" s="79" t="b">
        <v>0</v>
      </c>
      <c r="AU90" s="79"/>
      <c r="AV90" s="79">
        <v>3</v>
      </c>
      <c r="AW90" s="79"/>
      <c r="AX90" s="79" t="b">
        <v>0</v>
      </c>
      <c r="AY90" s="79" t="s">
        <v>1601</v>
      </c>
      <c r="AZ90" s="84" t="str">
        <f>HYPERLINK("https://twitter.com/44magnumblue1")</f>
        <v>https://twitter.com/44magnumblue1</v>
      </c>
      <c r="BA90" s="79" t="s">
        <v>65</v>
      </c>
      <c r="BB90" s="79" t="str">
        <f>REPLACE(INDEX(GroupVertices[Group],MATCH(Vertices[[#This Row],[Vertex]],GroupVertices[Vertex],0)),1,1,"")</f>
        <v>9</v>
      </c>
      <c r="BC90" s="49"/>
      <c r="BD90" s="49"/>
      <c r="BE90" s="49"/>
      <c r="BF90" s="49"/>
      <c r="BG90" s="49"/>
      <c r="BH90" s="49"/>
      <c r="BI90" s="49"/>
      <c r="BJ90" s="49"/>
      <c r="BK90" s="49"/>
      <c r="BL90" s="49"/>
      <c r="BM90" s="49"/>
      <c r="BN90" s="50"/>
      <c r="BO90" s="49"/>
      <c r="BP90" s="50"/>
      <c r="BQ90" s="49"/>
      <c r="BR90" s="50"/>
      <c r="BS90" s="49"/>
      <c r="BT90" s="50"/>
      <c r="BU90" s="49"/>
      <c r="BV90" s="2"/>
      <c r="BW90" s="3"/>
      <c r="BX90" s="3"/>
      <c r="BY90" s="3"/>
      <c r="BZ90" s="3"/>
    </row>
    <row r="91" spans="1:78" ht="41.45" customHeight="1">
      <c r="A91" s="65" t="s">
        <v>387</v>
      </c>
      <c r="C91" s="66"/>
      <c r="D91" s="66" t="s">
        <v>64</v>
      </c>
      <c r="E91" s="67">
        <v>163.05143151635855</v>
      </c>
      <c r="F91" s="69"/>
      <c r="G91" s="103" t="str">
        <f>HYPERLINK("https://pbs.twimg.com/profile_images/1431791916874600449/rHtIlWmI_normal.jpg")</f>
        <v>https://pbs.twimg.com/profile_images/1431791916874600449/rHtIlWmI_normal.jpg</v>
      </c>
      <c r="H91" s="66"/>
      <c r="I91" s="70" t="s">
        <v>387</v>
      </c>
      <c r="J91" s="71"/>
      <c r="K91" s="71"/>
      <c r="L91" s="70" t="s">
        <v>1689</v>
      </c>
      <c r="M91" s="74">
        <v>1.8043945095037917</v>
      </c>
      <c r="N91" s="75">
        <v>9379.265625</v>
      </c>
      <c r="O91" s="75">
        <v>7564.6884765625</v>
      </c>
      <c r="P91" s="76"/>
      <c r="Q91" s="77"/>
      <c r="R91" s="77"/>
      <c r="S91" s="89"/>
      <c r="T91" s="49">
        <v>1</v>
      </c>
      <c r="U91" s="49">
        <v>0</v>
      </c>
      <c r="V91" s="50">
        <v>0</v>
      </c>
      <c r="W91" s="50">
        <v>0.111111</v>
      </c>
      <c r="X91" s="50">
        <v>0</v>
      </c>
      <c r="Y91" s="50">
        <v>0.63243</v>
      </c>
      <c r="Z91" s="50">
        <v>0</v>
      </c>
      <c r="AA91" s="50">
        <v>0</v>
      </c>
      <c r="AB91" s="72">
        <v>91</v>
      </c>
      <c r="AC91" s="72"/>
      <c r="AD91" s="73"/>
      <c r="AE91" s="79" t="s">
        <v>1101</v>
      </c>
      <c r="AF91" s="88" t="s">
        <v>1263</v>
      </c>
      <c r="AG91" s="79">
        <v>35</v>
      </c>
      <c r="AH91" s="79">
        <v>2084</v>
      </c>
      <c r="AI91" s="79">
        <v>129</v>
      </c>
      <c r="AJ91" s="79">
        <v>3</v>
      </c>
      <c r="AK91" s="79"/>
      <c r="AL91" s="79" t="s">
        <v>1423</v>
      </c>
      <c r="AM91" s="79" t="s">
        <v>1558</v>
      </c>
      <c r="AN91" s="79"/>
      <c r="AO91" s="79"/>
      <c r="AP91" s="81">
        <v>44437.01935185185</v>
      </c>
      <c r="AQ91" s="84" t="str">
        <f>HYPERLINK("https://pbs.twimg.com/profile_banners/1431775520870576131/1630197412")</f>
        <v>https://pbs.twimg.com/profile_banners/1431775520870576131/1630197412</v>
      </c>
      <c r="AR91" s="79" t="b">
        <v>1</v>
      </c>
      <c r="AS91" s="79" t="b">
        <v>0</v>
      </c>
      <c r="AT91" s="79" t="b">
        <v>0</v>
      </c>
      <c r="AU91" s="79"/>
      <c r="AV91" s="79">
        <v>10</v>
      </c>
      <c r="AW91" s="79"/>
      <c r="AX91" s="79" t="b">
        <v>0</v>
      </c>
      <c r="AY91" s="79" t="s">
        <v>1601</v>
      </c>
      <c r="AZ91" s="84" t="str">
        <f>HYPERLINK("https://twitter.com/berensonsghost")</f>
        <v>https://twitter.com/berensonsghost</v>
      </c>
      <c r="BA91" s="79" t="s">
        <v>65</v>
      </c>
      <c r="BB91" s="79" t="str">
        <f>REPLACE(INDEX(GroupVertices[Group],MATCH(Vertices[[#This Row],[Vertex]],GroupVertices[Vertex],0)),1,1,"")</f>
        <v>9</v>
      </c>
      <c r="BC91" s="49"/>
      <c r="BD91" s="49"/>
      <c r="BE91" s="49"/>
      <c r="BF91" s="49"/>
      <c r="BG91" s="49"/>
      <c r="BH91" s="49"/>
      <c r="BI91" s="49"/>
      <c r="BJ91" s="49"/>
      <c r="BK91" s="49"/>
      <c r="BL91" s="49"/>
      <c r="BM91" s="49"/>
      <c r="BN91" s="50"/>
      <c r="BO91" s="49"/>
      <c r="BP91" s="50"/>
      <c r="BQ91" s="49"/>
      <c r="BR91" s="50"/>
      <c r="BS91" s="49"/>
      <c r="BT91" s="50"/>
      <c r="BU91" s="49"/>
      <c r="BV91" s="2"/>
      <c r="BW91" s="3"/>
      <c r="BX91" s="3"/>
      <c r="BY91" s="3"/>
      <c r="BZ91" s="3"/>
    </row>
    <row r="92" spans="1:78" ht="41.45" customHeight="1">
      <c r="A92" s="65" t="s">
        <v>388</v>
      </c>
      <c r="C92" s="66"/>
      <c r="D92" s="66" t="s">
        <v>64</v>
      </c>
      <c r="E92" s="67">
        <v>188.8331982713674</v>
      </c>
      <c r="F92" s="69"/>
      <c r="G92" s="103" t="str">
        <f>HYPERLINK("https://pbs.twimg.com/profile_images/838235597080674304/37K1h01M_normal.jpg")</f>
        <v>https://pbs.twimg.com/profile_images/838235597080674304/37K1h01M_normal.jpg</v>
      </c>
      <c r="H92" s="66"/>
      <c r="I92" s="70" t="s">
        <v>388</v>
      </c>
      <c r="J92" s="71"/>
      <c r="K92" s="71"/>
      <c r="L92" s="70" t="s">
        <v>1690</v>
      </c>
      <c r="M92" s="74">
        <v>21.52865738385756</v>
      </c>
      <c r="N92" s="75">
        <v>9564.2607421875</v>
      </c>
      <c r="O92" s="75">
        <v>8547.3876953125</v>
      </c>
      <c r="P92" s="76"/>
      <c r="Q92" s="77"/>
      <c r="R92" s="77"/>
      <c r="S92" s="89"/>
      <c r="T92" s="49">
        <v>1</v>
      </c>
      <c r="U92" s="49">
        <v>0</v>
      </c>
      <c r="V92" s="50">
        <v>0</v>
      </c>
      <c r="W92" s="50">
        <v>0.111111</v>
      </c>
      <c r="X92" s="50">
        <v>0</v>
      </c>
      <c r="Y92" s="50">
        <v>0.63243</v>
      </c>
      <c r="Z92" s="50">
        <v>0</v>
      </c>
      <c r="AA92" s="50">
        <v>0</v>
      </c>
      <c r="AB92" s="72">
        <v>92</v>
      </c>
      <c r="AC92" s="72"/>
      <c r="AD92" s="73"/>
      <c r="AE92" s="79" t="s">
        <v>1102</v>
      </c>
      <c r="AF92" s="88" t="s">
        <v>958</v>
      </c>
      <c r="AG92" s="79">
        <v>48992</v>
      </c>
      <c r="AH92" s="79">
        <v>53185</v>
      </c>
      <c r="AI92" s="79">
        <v>173588</v>
      </c>
      <c r="AJ92" s="79">
        <v>520336</v>
      </c>
      <c r="AK92" s="79"/>
      <c r="AL92" s="79" t="s">
        <v>1424</v>
      </c>
      <c r="AM92" s="79"/>
      <c r="AN92" s="79"/>
      <c r="AO92" s="79"/>
      <c r="AP92" s="81">
        <v>41317.514548611114</v>
      </c>
      <c r="AQ92" s="84" t="str">
        <f>HYPERLINK("https://pbs.twimg.com/profile_banners/1171793868/1519773064")</f>
        <v>https://pbs.twimg.com/profile_banners/1171793868/1519773064</v>
      </c>
      <c r="AR92" s="79" t="b">
        <v>1</v>
      </c>
      <c r="AS92" s="79" t="b">
        <v>0</v>
      </c>
      <c r="AT92" s="79" t="b">
        <v>0</v>
      </c>
      <c r="AU92" s="79"/>
      <c r="AV92" s="79">
        <v>71</v>
      </c>
      <c r="AW92" s="84" t="str">
        <f>HYPERLINK("https://abs.twimg.com/images/themes/theme1/bg.png")</f>
        <v>https://abs.twimg.com/images/themes/theme1/bg.png</v>
      </c>
      <c r="AX92" s="79" t="b">
        <v>0</v>
      </c>
      <c r="AY92" s="79" t="s">
        <v>1601</v>
      </c>
      <c r="AZ92" s="84" t="str">
        <f>HYPERLINK("https://twitter.com/pvtjokerus")</f>
        <v>https://twitter.com/pvtjokerus</v>
      </c>
      <c r="BA92" s="79" t="s">
        <v>65</v>
      </c>
      <c r="BB92" s="79" t="str">
        <f>REPLACE(INDEX(GroupVertices[Group],MATCH(Vertices[[#This Row],[Vertex]],GroupVertices[Vertex],0)),1,1,"")</f>
        <v>9</v>
      </c>
      <c r="BC92" s="49"/>
      <c r="BD92" s="49"/>
      <c r="BE92" s="49"/>
      <c r="BF92" s="49"/>
      <c r="BG92" s="49"/>
      <c r="BH92" s="49"/>
      <c r="BI92" s="49"/>
      <c r="BJ92" s="49"/>
      <c r="BK92" s="49"/>
      <c r="BL92" s="49"/>
      <c r="BM92" s="49"/>
      <c r="BN92" s="50"/>
      <c r="BO92" s="49"/>
      <c r="BP92" s="50"/>
      <c r="BQ92" s="49"/>
      <c r="BR92" s="50"/>
      <c r="BS92" s="49"/>
      <c r="BT92" s="50"/>
      <c r="BU92" s="49"/>
      <c r="BV92" s="2"/>
      <c r="BW92" s="3"/>
      <c r="BX92" s="3"/>
      <c r="BY92" s="3"/>
      <c r="BZ92" s="3"/>
    </row>
    <row r="93" spans="1:78" ht="41.45" customHeight="1">
      <c r="A93" s="65" t="s">
        <v>293</v>
      </c>
      <c r="C93" s="66"/>
      <c r="D93" s="66" t="s">
        <v>64</v>
      </c>
      <c r="E93" s="67">
        <v>176.1146104134582</v>
      </c>
      <c r="F93" s="69"/>
      <c r="G93" s="103" t="str">
        <f>HYPERLINK("https://pbs.twimg.com/profile_images/459261502323568640/VGRFs3QW_normal.jpeg")</f>
        <v>https://pbs.twimg.com/profile_images/459261502323568640/VGRFs3QW_normal.jpeg</v>
      </c>
      <c r="H93" s="66"/>
      <c r="I93" s="70" t="s">
        <v>293</v>
      </c>
      <c r="J93" s="71"/>
      <c r="K93" s="71"/>
      <c r="L93" s="70" t="s">
        <v>1691</v>
      </c>
      <c r="M93" s="74">
        <v>11.798340114144949</v>
      </c>
      <c r="N93" s="75">
        <v>6060.2724609375</v>
      </c>
      <c r="O93" s="75">
        <v>6779.4267578125</v>
      </c>
      <c r="P93" s="76"/>
      <c r="Q93" s="77"/>
      <c r="R93" s="77"/>
      <c r="S93" s="89"/>
      <c r="T93" s="49">
        <v>0</v>
      </c>
      <c r="U93" s="49">
        <v>2</v>
      </c>
      <c r="V93" s="50">
        <v>0</v>
      </c>
      <c r="W93" s="50">
        <v>0.125</v>
      </c>
      <c r="X93" s="50">
        <v>0</v>
      </c>
      <c r="Y93" s="50">
        <v>0.96834</v>
      </c>
      <c r="Z93" s="50">
        <v>0.5</v>
      </c>
      <c r="AA93" s="50">
        <v>0</v>
      </c>
      <c r="AB93" s="72">
        <v>93</v>
      </c>
      <c r="AC93" s="72"/>
      <c r="AD93" s="73"/>
      <c r="AE93" s="79" t="s">
        <v>1103</v>
      </c>
      <c r="AF93" s="88" t="s">
        <v>1264</v>
      </c>
      <c r="AG93" s="79">
        <v>2355</v>
      </c>
      <c r="AH93" s="79">
        <v>27976</v>
      </c>
      <c r="AI93" s="79">
        <v>152432</v>
      </c>
      <c r="AJ93" s="79">
        <v>2111</v>
      </c>
      <c r="AK93" s="79"/>
      <c r="AL93" s="79" t="s">
        <v>1425</v>
      </c>
      <c r="AM93" s="79" t="s">
        <v>1559</v>
      </c>
      <c r="AN93" s="84" t="str">
        <f>HYPERLINK("https://t.co/bV9x6GCSv2")</f>
        <v>https://t.co/bV9x6GCSv2</v>
      </c>
      <c r="AO93" s="79"/>
      <c r="AP93" s="81">
        <v>39985.18331018519</v>
      </c>
      <c r="AQ93" s="84" t="str">
        <f>HYPERLINK("https://pbs.twimg.com/profile_banners/49229910/1456886460")</f>
        <v>https://pbs.twimg.com/profile_banners/49229910/1456886460</v>
      </c>
      <c r="AR93" s="79" t="b">
        <v>0</v>
      </c>
      <c r="AS93" s="79" t="b">
        <v>0</v>
      </c>
      <c r="AT93" s="79" t="b">
        <v>0</v>
      </c>
      <c r="AU93" s="79"/>
      <c r="AV93" s="79">
        <v>786</v>
      </c>
      <c r="AW93" s="84" t="str">
        <f>HYPERLINK("https://abs.twimg.com/images/themes/theme18/bg.gif")</f>
        <v>https://abs.twimg.com/images/themes/theme18/bg.gif</v>
      </c>
      <c r="AX93" s="79" t="b">
        <v>0</v>
      </c>
      <c r="AY93" s="79" t="s">
        <v>1601</v>
      </c>
      <c r="AZ93" s="84" t="str">
        <f>HYPERLINK("https://twitter.com/shauncoffey")</f>
        <v>https://twitter.com/shauncoffey</v>
      </c>
      <c r="BA93" s="79" t="s">
        <v>66</v>
      </c>
      <c r="BB93" s="79" t="str">
        <f>REPLACE(INDEX(GroupVertices[Group],MATCH(Vertices[[#This Row],[Vertex]],GroupVertices[Vertex],0)),1,1,"")</f>
        <v>8</v>
      </c>
      <c r="BC93" s="49" t="s">
        <v>1875</v>
      </c>
      <c r="BD93" s="49" t="s">
        <v>1875</v>
      </c>
      <c r="BE93" s="49" t="s">
        <v>522</v>
      </c>
      <c r="BF93" s="49" t="s">
        <v>522</v>
      </c>
      <c r="BG93" s="49"/>
      <c r="BH93" s="49"/>
      <c r="BI93" s="108" t="s">
        <v>2313</v>
      </c>
      <c r="BJ93" s="108" t="s">
        <v>2313</v>
      </c>
      <c r="BK93" s="108" t="s">
        <v>2383</v>
      </c>
      <c r="BL93" s="108" t="s">
        <v>2383</v>
      </c>
      <c r="BM93" s="108">
        <v>0</v>
      </c>
      <c r="BN93" s="111">
        <v>0</v>
      </c>
      <c r="BO93" s="108">
        <v>0</v>
      </c>
      <c r="BP93" s="111">
        <v>0</v>
      </c>
      <c r="BQ93" s="108">
        <v>0</v>
      </c>
      <c r="BR93" s="111">
        <v>0</v>
      </c>
      <c r="BS93" s="108">
        <v>18</v>
      </c>
      <c r="BT93" s="111">
        <v>100</v>
      </c>
      <c r="BU93" s="108">
        <v>18</v>
      </c>
      <c r="BV93" s="2"/>
      <c r="BW93" s="3"/>
      <c r="BX93" s="3"/>
      <c r="BY93" s="3"/>
      <c r="BZ93" s="3"/>
    </row>
    <row r="94" spans="1:78" ht="41.45" customHeight="1">
      <c r="A94" s="65" t="s">
        <v>389</v>
      </c>
      <c r="C94" s="66"/>
      <c r="D94" s="66" t="s">
        <v>64</v>
      </c>
      <c r="E94" s="67">
        <v>1000</v>
      </c>
      <c r="F94" s="69"/>
      <c r="G94" s="103" t="str">
        <f>HYPERLINK("https://pbs.twimg.com/profile_images/1082424539492073477/exU8rYn8_normal.jpg")</f>
        <v>https://pbs.twimg.com/profile_images/1082424539492073477/exU8rYn8_normal.jpg</v>
      </c>
      <c r="H94" s="66"/>
      <c r="I94" s="70" t="s">
        <v>389</v>
      </c>
      <c r="J94" s="71"/>
      <c r="K94" s="71"/>
      <c r="L94" s="70" t="s">
        <v>1692</v>
      </c>
      <c r="M94" s="74">
        <v>642.1093718198056</v>
      </c>
      <c r="N94" s="75">
        <v>6231.2607421875</v>
      </c>
      <c r="O94" s="75">
        <v>6072.04248046875</v>
      </c>
      <c r="P94" s="76"/>
      <c r="Q94" s="77"/>
      <c r="R94" s="77"/>
      <c r="S94" s="89"/>
      <c r="T94" s="49">
        <v>2</v>
      </c>
      <c r="U94" s="49">
        <v>0</v>
      </c>
      <c r="V94" s="50">
        <v>0</v>
      </c>
      <c r="W94" s="50">
        <v>0.125</v>
      </c>
      <c r="X94" s="50">
        <v>0</v>
      </c>
      <c r="Y94" s="50">
        <v>0.96834</v>
      </c>
      <c r="Z94" s="50">
        <v>0.5</v>
      </c>
      <c r="AA94" s="50">
        <v>0</v>
      </c>
      <c r="AB94" s="72">
        <v>94</v>
      </c>
      <c r="AC94" s="72"/>
      <c r="AD94" s="73"/>
      <c r="AE94" s="79" t="s">
        <v>977</v>
      </c>
      <c r="AF94" s="88" t="s">
        <v>1265</v>
      </c>
      <c r="AG94" s="79">
        <v>29</v>
      </c>
      <c r="AH94" s="79">
        <v>1660966</v>
      </c>
      <c r="AI94" s="79">
        <v>19363</v>
      </c>
      <c r="AJ94" s="79">
        <v>6679</v>
      </c>
      <c r="AK94" s="79"/>
      <c r="AL94" s="79" t="s">
        <v>1426</v>
      </c>
      <c r="AM94" s="79" t="s">
        <v>1560</v>
      </c>
      <c r="AN94" s="84" t="str">
        <f>HYPERLINK("https://t.co/3gG68vGZzD")</f>
        <v>https://t.co/3gG68vGZzD</v>
      </c>
      <c r="AO94" s="79"/>
      <c r="AP94" s="81">
        <v>39482.76528935185</v>
      </c>
      <c r="AQ94" s="84" t="str">
        <f>HYPERLINK("https://pbs.twimg.com/profile_banners/13058772/1603572290")</f>
        <v>https://pbs.twimg.com/profile_banners/13058772/1603572290</v>
      </c>
      <c r="AR94" s="79" t="b">
        <v>0</v>
      </c>
      <c r="AS94" s="79" t="b">
        <v>0</v>
      </c>
      <c r="AT94" s="79" t="b">
        <v>1</v>
      </c>
      <c r="AU94" s="79"/>
      <c r="AV94" s="79">
        <v>17695</v>
      </c>
      <c r="AW94" s="84" t="str">
        <f>HYPERLINK("https://abs.twimg.com/images/themes/theme1/bg.png")</f>
        <v>https://abs.twimg.com/images/themes/theme1/bg.png</v>
      </c>
      <c r="AX94" s="79" t="b">
        <v>1</v>
      </c>
      <c r="AY94" s="79" t="s">
        <v>1601</v>
      </c>
      <c r="AZ94" s="84" t="str">
        <f>HYPERLINK("https://twitter.com/linkedin")</f>
        <v>https://twitter.com/linkedin</v>
      </c>
      <c r="BA94" s="79" t="s">
        <v>65</v>
      </c>
      <c r="BB94" s="79" t="str">
        <f>REPLACE(INDEX(GroupVertices[Group],MATCH(Vertices[[#This Row],[Vertex]],GroupVertices[Vertex],0)),1,1,"")</f>
        <v>8</v>
      </c>
      <c r="BC94" s="49"/>
      <c r="BD94" s="49"/>
      <c r="BE94" s="49"/>
      <c r="BF94" s="49"/>
      <c r="BG94" s="49"/>
      <c r="BH94" s="49"/>
      <c r="BI94" s="49"/>
      <c r="BJ94" s="49"/>
      <c r="BK94" s="49"/>
      <c r="BL94" s="49"/>
      <c r="BM94" s="49"/>
      <c r="BN94" s="50"/>
      <c r="BO94" s="49"/>
      <c r="BP94" s="50"/>
      <c r="BQ94" s="49"/>
      <c r="BR94" s="50"/>
      <c r="BS94" s="49"/>
      <c r="BT94" s="50"/>
      <c r="BU94" s="49"/>
      <c r="BV94" s="2"/>
      <c r="BW94" s="3"/>
      <c r="BX94" s="3"/>
      <c r="BY94" s="3"/>
      <c r="BZ94" s="3"/>
    </row>
    <row r="95" spans="1:78" ht="41.45" customHeight="1">
      <c r="A95" s="65" t="s">
        <v>307</v>
      </c>
      <c r="C95" s="66"/>
      <c r="D95" s="66" t="s">
        <v>64</v>
      </c>
      <c r="E95" s="67">
        <v>162.15842106340529</v>
      </c>
      <c r="F95" s="69"/>
      <c r="G95" s="103" t="str">
        <f>HYPERLINK("https://pbs.twimg.com/profile_images/707096446005170176/qy74n7N3_normal.jpg")</f>
        <v>https://pbs.twimg.com/profile_images/707096446005170176/qy74n7N3_normal.jpg</v>
      </c>
      <c r="H95" s="66"/>
      <c r="I95" s="70" t="s">
        <v>307</v>
      </c>
      <c r="J95" s="71"/>
      <c r="K95" s="71"/>
      <c r="L95" s="70" t="s">
        <v>1693</v>
      </c>
      <c r="M95" s="74">
        <v>1.121199556614295</v>
      </c>
      <c r="N95" s="75">
        <v>5748.552734375</v>
      </c>
      <c r="O95" s="75">
        <v>6003.146484375</v>
      </c>
      <c r="P95" s="76"/>
      <c r="Q95" s="77"/>
      <c r="R95" s="77"/>
      <c r="S95" s="89"/>
      <c r="T95" s="49">
        <v>1</v>
      </c>
      <c r="U95" s="49">
        <v>4</v>
      </c>
      <c r="V95" s="50">
        <v>18</v>
      </c>
      <c r="W95" s="50">
        <v>0.2</v>
      </c>
      <c r="X95" s="50">
        <v>0</v>
      </c>
      <c r="Y95" s="50">
        <v>2.392916</v>
      </c>
      <c r="Z95" s="50">
        <v>0.05</v>
      </c>
      <c r="AA95" s="50">
        <v>0</v>
      </c>
      <c r="AB95" s="72">
        <v>95</v>
      </c>
      <c r="AC95" s="72"/>
      <c r="AD95" s="73"/>
      <c r="AE95" s="79" t="s">
        <v>1104</v>
      </c>
      <c r="AF95" s="88" t="s">
        <v>1266</v>
      </c>
      <c r="AG95" s="79">
        <v>249</v>
      </c>
      <c r="AH95" s="79">
        <v>314</v>
      </c>
      <c r="AI95" s="79">
        <v>406</v>
      </c>
      <c r="AJ95" s="79">
        <v>541</v>
      </c>
      <c r="AK95" s="79"/>
      <c r="AL95" s="79" t="s">
        <v>1427</v>
      </c>
      <c r="AM95" s="79" t="s">
        <v>1561</v>
      </c>
      <c r="AN95" s="79"/>
      <c r="AO95" s="79"/>
      <c r="AP95" s="81">
        <v>41505.91336805555</v>
      </c>
      <c r="AQ95" s="84" t="str">
        <f>HYPERLINK("https://pbs.twimg.com/profile_banners/1684271474/1402696656")</f>
        <v>https://pbs.twimg.com/profile_banners/1684271474/1402696656</v>
      </c>
      <c r="AR95" s="79" t="b">
        <v>0</v>
      </c>
      <c r="AS95" s="79" t="b">
        <v>0</v>
      </c>
      <c r="AT95" s="79" t="b">
        <v>1</v>
      </c>
      <c r="AU95" s="79"/>
      <c r="AV95" s="79">
        <v>5</v>
      </c>
      <c r="AW95" s="84" t="str">
        <f>HYPERLINK("https://abs.twimg.com/images/themes/theme1/bg.png")</f>
        <v>https://abs.twimg.com/images/themes/theme1/bg.png</v>
      </c>
      <c r="AX95" s="79" t="b">
        <v>0</v>
      </c>
      <c r="AY95" s="79" t="s">
        <v>1601</v>
      </c>
      <c r="AZ95" s="84" t="str">
        <f>HYPERLINK("https://twitter.com/paulwood1508")</f>
        <v>https://twitter.com/paulwood1508</v>
      </c>
      <c r="BA95" s="79" t="s">
        <v>66</v>
      </c>
      <c r="BB95" s="79" t="str">
        <f>REPLACE(INDEX(GroupVertices[Group],MATCH(Vertices[[#This Row],[Vertex]],GroupVertices[Vertex],0)),1,1,"")</f>
        <v>8</v>
      </c>
      <c r="BC95" s="49" t="s">
        <v>1875</v>
      </c>
      <c r="BD95" s="49" t="s">
        <v>1875</v>
      </c>
      <c r="BE95" s="49" t="s">
        <v>522</v>
      </c>
      <c r="BF95" s="49" t="s">
        <v>522</v>
      </c>
      <c r="BG95" s="49"/>
      <c r="BH95" s="49"/>
      <c r="BI95" s="108" t="s">
        <v>2314</v>
      </c>
      <c r="BJ95" s="108" t="s">
        <v>2344</v>
      </c>
      <c r="BK95" s="108" t="s">
        <v>2384</v>
      </c>
      <c r="BL95" s="108" t="s">
        <v>2411</v>
      </c>
      <c r="BM95" s="108">
        <v>0</v>
      </c>
      <c r="BN95" s="111">
        <v>0</v>
      </c>
      <c r="BO95" s="108">
        <v>1</v>
      </c>
      <c r="BP95" s="111">
        <v>2.6315789473684212</v>
      </c>
      <c r="BQ95" s="108">
        <v>0</v>
      </c>
      <c r="BR95" s="111">
        <v>0</v>
      </c>
      <c r="BS95" s="108">
        <v>37</v>
      </c>
      <c r="BT95" s="111">
        <v>97.36842105263158</v>
      </c>
      <c r="BU95" s="108">
        <v>38</v>
      </c>
      <c r="BV95" s="2"/>
      <c r="BW95" s="3"/>
      <c r="BX95" s="3"/>
      <c r="BY95" s="3"/>
      <c r="BZ95" s="3"/>
    </row>
    <row r="96" spans="1:78" ht="41.45" customHeight="1">
      <c r="A96" s="65" t="s">
        <v>294</v>
      </c>
      <c r="C96" s="66"/>
      <c r="D96" s="66" t="s">
        <v>64</v>
      </c>
      <c r="E96" s="67">
        <v>162.0176583987872</v>
      </c>
      <c r="F96" s="69"/>
      <c r="G96" s="103" t="str">
        <f>HYPERLINK("https://pbs.twimg.com/profile_images/1426387832952786947/fGiQPvFE_normal.jpg")</f>
        <v>https://pbs.twimg.com/profile_images/1426387832952786947/fGiQPvFE_normal.jpg</v>
      </c>
      <c r="H96" s="66"/>
      <c r="I96" s="70" t="s">
        <v>294</v>
      </c>
      <c r="J96" s="71"/>
      <c r="K96" s="71"/>
      <c r="L96" s="70" t="s">
        <v>1694</v>
      </c>
      <c r="M96" s="74">
        <v>1.013509504718154</v>
      </c>
      <c r="N96" s="75">
        <v>2800.75146484375</v>
      </c>
      <c r="O96" s="75">
        <v>7560.24072265625</v>
      </c>
      <c r="P96" s="76"/>
      <c r="Q96" s="77"/>
      <c r="R96" s="77"/>
      <c r="S96" s="89"/>
      <c r="T96" s="49">
        <v>0</v>
      </c>
      <c r="U96" s="49">
        <v>4</v>
      </c>
      <c r="V96" s="50">
        <v>0.0625</v>
      </c>
      <c r="W96" s="50">
        <v>0.007092</v>
      </c>
      <c r="X96" s="50">
        <v>0.023308</v>
      </c>
      <c r="Y96" s="50">
        <v>0.598438</v>
      </c>
      <c r="Z96" s="50">
        <v>0.4166666666666667</v>
      </c>
      <c r="AA96" s="50">
        <v>0</v>
      </c>
      <c r="AB96" s="72">
        <v>96</v>
      </c>
      <c r="AC96" s="72"/>
      <c r="AD96" s="73"/>
      <c r="AE96" s="79" t="s">
        <v>1105</v>
      </c>
      <c r="AF96" s="88" t="s">
        <v>1267</v>
      </c>
      <c r="AG96" s="79">
        <v>111</v>
      </c>
      <c r="AH96" s="79">
        <v>35</v>
      </c>
      <c r="AI96" s="79">
        <v>7598</v>
      </c>
      <c r="AJ96" s="79">
        <v>630</v>
      </c>
      <c r="AK96" s="79"/>
      <c r="AL96" s="79" t="s">
        <v>1428</v>
      </c>
      <c r="AM96" s="79"/>
      <c r="AN96" s="79"/>
      <c r="AO96" s="79"/>
      <c r="AP96" s="81">
        <v>44422.15201388889</v>
      </c>
      <c r="AQ96" s="79"/>
      <c r="AR96" s="79" t="b">
        <v>1</v>
      </c>
      <c r="AS96" s="79" t="b">
        <v>0</v>
      </c>
      <c r="AT96" s="79" t="b">
        <v>0</v>
      </c>
      <c r="AU96" s="79"/>
      <c r="AV96" s="79">
        <v>0</v>
      </c>
      <c r="AW96" s="79"/>
      <c r="AX96" s="79" t="b">
        <v>0</v>
      </c>
      <c r="AY96" s="79" t="s">
        <v>1601</v>
      </c>
      <c r="AZ96" s="84" t="str">
        <f>HYPERLINK("https://twitter.com/asimkha02399869")</f>
        <v>https://twitter.com/asimkha02399869</v>
      </c>
      <c r="BA96" s="79" t="s">
        <v>66</v>
      </c>
      <c r="BB96" s="79" t="str">
        <f>REPLACE(INDEX(GroupVertices[Group],MATCH(Vertices[[#This Row],[Vertex]],GroupVertices[Vertex],0)),1,1,"")</f>
        <v>1</v>
      </c>
      <c r="BC96" s="49" t="s">
        <v>1823</v>
      </c>
      <c r="BD96" s="49" t="s">
        <v>1823</v>
      </c>
      <c r="BE96" s="49" t="s">
        <v>528</v>
      </c>
      <c r="BF96" s="49" t="s">
        <v>528</v>
      </c>
      <c r="BG96" s="49"/>
      <c r="BH96" s="49"/>
      <c r="BI96" s="108" t="s">
        <v>2295</v>
      </c>
      <c r="BJ96" s="108" t="s">
        <v>2295</v>
      </c>
      <c r="BK96" s="108" t="s">
        <v>2151</v>
      </c>
      <c r="BL96" s="108" t="s">
        <v>2151</v>
      </c>
      <c r="BM96" s="108">
        <v>0</v>
      </c>
      <c r="BN96" s="111">
        <v>0</v>
      </c>
      <c r="BO96" s="108">
        <v>0</v>
      </c>
      <c r="BP96" s="111">
        <v>0</v>
      </c>
      <c r="BQ96" s="108">
        <v>0</v>
      </c>
      <c r="BR96" s="111">
        <v>0</v>
      </c>
      <c r="BS96" s="108">
        <v>34</v>
      </c>
      <c r="BT96" s="111">
        <v>100</v>
      </c>
      <c r="BU96" s="108">
        <v>34</v>
      </c>
      <c r="BV96" s="2"/>
      <c r="BW96" s="3"/>
      <c r="BX96" s="3"/>
      <c r="BY96" s="3"/>
      <c r="BZ96" s="3"/>
    </row>
    <row r="97" spans="1:78" ht="41.45" customHeight="1">
      <c r="A97" s="65" t="s">
        <v>295</v>
      </c>
      <c r="C97" s="66"/>
      <c r="D97" s="66" t="s">
        <v>64</v>
      </c>
      <c r="E97" s="67">
        <v>162.05196614500235</v>
      </c>
      <c r="F97" s="69"/>
      <c r="G97" s="103" t="str">
        <f>HYPERLINK("https://pbs.twimg.com/profile_images/3032298004/3383c00ae9195cf8f2d684781486830b_normal.jpeg")</f>
        <v>https://pbs.twimg.com/profile_images/3032298004/3383c00ae9195cf8f2d684781486830b_normal.jpeg</v>
      </c>
      <c r="H97" s="66"/>
      <c r="I97" s="70" t="s">
        <v>295</v>
      </c>
      <c r="J97" s="71"/>
      <c r="K97" s="71"/>
      <c r="L97" s="70" t="s">
        <v>1695</v>
      </c>
      <c r="M97" s="74">
        <v>1.0397565424562814</v>
      </c>
      <c r="N97" s="75">
        <v>483.2395324707031</v>
      </c>
      <c r="O97" s="75">
        <v>7103.3310546875</v>
      </c>
      <c r="P97" s="76"/>
      <c r="Q97" s="77"/>
      <c r="R97" s="77"/>
      <c r="S97" s="89"/>
      <c r="T97" s="49">
        <v>0</v>
      </c>
      <c r="U97" s="49">
        <v>4</v>
      </c>
      <c r="V97" s="50">
        <v>0.0625</v>
      </c>
      <c r="W97" s="50">
        <v>0.007092</v>
      </c>
      <c r="X97" s="50">
        <v>0.023308</v>
      </c>
      <c r="Y97" s="50">
        <v>0.598438</v>
      </c>
      <c r="Z97" s="50">
        <v>0.4166666666666667</v>
      </c>
      <c r="AA97" s="50">
        <v>0</v>
      </c>
      <c r="AB97" s="72">
        <v>97</v>
      </c>
      <c r="AC97" s="72"/>
      <c r="AD97" s="73"/>
      <c r="AE97" s="79" t="s">
        <v>1106</v>
      </c>
      <c r="AF97" s="88" t="s">
        <v>1268</v>
      </c>
      <c r="AG97" s="79">
        <v>155</v>
      </c>
      <c r="AH97" s="79">
        <v>103</v>
      </c>
      <c r="AI97" s="79">
        <v>645</v>
      </c>
      <c r="AJ97" s="79">
        <v>5014</v>
      </c>
      <c r="AK97" s="79"/>
      <c r="AL97" s="79" t="s">
        <v>1429</v>
      </c>
      <c r="AM97" s="79" t="s">
        <v>1562</v>
      </c>
      <c r="AN97" s="79"/>
      <c r="AO97" s="79"/>
      <c r="AP97" s="81">
        <v>41191.684212962966</v>
      </c>
      <c r="AQ97" s="79"/>
      <c r="AR97" s="79" t="b">
        <v>1</v>
      </c>
      <c r="AS97" s="79" t="b">
        <v>0</v>
      </c>
      <c r="AT97" s="79" t="b">
        <v>1</v>
      </c>
      <c r="AU97" s="79"/>
      <c r="AV97" s="79">
        <v>0</v>
      </c>
      <c r="AW97" s="84" t="str">
        <f>HYPERLINK("https://abs.twimg.com/images/themes/theme1/bg.png")</f>
        <v>https://abs.twimg.com/images/themes/theme1/bg.png</v>
      </c>
      <c r="AX97" s="79" t="b">
        <v>0</v>
      </c>
      <c r="AY97" s="79" t="s">
        <v>1601</v>
      </c>
      <c r="AZ97" s="84" t="str">
        <f>HYPERLINK("https://twitter.com/ksmohamed_sunil")</f>
        <v>https://twitter.com/ksmohamed_sunil</v>
      </c>
      <c r="BA97" s="79" t="s">
        <v>66</v>
      </c>
      <c r="BB97" s="79" t="str">
        <f>REPLACE(INDEX(GroupVertices[Group],MATCH(Vertices[[#This Row],[Vertex]],GroupVertices[Vertex],0)),1,1,"")</f>
        <v>1</v>
      </c>
      <c r="BC97" s="49" t="s">
        <v>1823</v>
      </c>
      <c r="BD97" s="49" t="s">
        <v>1823</v>
      </c>
      <c r="BE97" s="49" t="s">
        <v>528</v>
      </c>
      <c r="BF97" s="49" t="s">
        <v>528</v>
      </c>
      <c r="BG97" s="49"/>
      <c r="BH97" s="49"/>
      <c r="BI97" s="108" t="s">
        <v>2295</v>
      </c>
      <c r="BJ97" s="108" t="s">
        <v>2295</v>
      </c>
      <c r="BK97" s="108" t="s">
        <v>2151</v>
      </c>
      <c r="BL97" s="108" t="s">
        <v>2151</v>
      </c>
      <c r="BM97" s="108">
        <v>0</v>
      </c>
      <c r="BN97" s="111">
        <v>0</v>
      </c>
      <c r="BO97" s="108">
        <v>0</v>
      </c>
      <c r="BP97" s="111">
        <v>0</v>
      </c>
      <c r="BQ97" s="108">
        <v>0</v>
      </c>
      <c r="BR97" s="111">
        <v>0</v>
      </c>
      <c r="BS97" s="108">
        <v>34</v>
      </c>
      <c r="BT97" s="111">
        <v>100</v>
      </c>
      <c r="BU97" s="108">
        <v>34</v>
      </c>
      <c r="BV97" s="2"/>
      <c r="BW97" s="3"/>
      <c r="BX97" s="3"/>
      <c r="BY97" s="3"/>
      <c r="BZ97" s="3"/>
    </row>
    <row r="98" spans="1:78" ht="41.45" customHeight="1">
      <c r="A98" s="65" t="s">
        <v>296</v>
      </c>
      <c r="C98" s="66"/>
      <c r="D98" s="66" t="s">
        <v>64</v>
      </c>
      <c r="E98" s="67">
        <v>162.06710191539142</v>
      </c>
      <c r="F98" s="69"/>
      <c r="G98" s="103" t="str">
        <f>HYPERLINK("https://pbs.twimg.com/profile_images/1444843113990656002/hWT0KNYS_normal.jpg")</f>
        <v>https://pbs.twimg.com/profile_images/1444843113990656002/hWT0KNYS_normal.jpg</v>
      </c>
      <c r="H98" s="66"/>
      <c r="I98" s="70" t="s">
        <v>296</v>
      </c>
      <c r="J98" s="71"/>
      <c r="K98" s="71"/>
      <c r="L98" s="70" t="s">
        <v>1696</v>
      </c>
      <c r="M98" s="74">
        <v>1.0513361179289848</v>
      </c>
      <c r="N98" s="75">
        <v>471.8422546386719</v>
      </c>
      <c r="O98" s="75">
        <v>8068.880859375</v>
      </c>
      <c r="P98" s="76"/>
      <c r="Q98" s="77"/>
      <c r="R98" s="77"/>
      <c r="S98" s="89"/>
      <c r="T98" s="49">
        <v>0</v>
      </c>
      <c r="U98" s="49">
        <v>4</v>
      </c>
      <c r="V98" s="50">
        <v>0.0625</v>
      </c>
      <c r="W98" s="50">
        <v>0.007092</v>
      </c>
      <c r="X98" s="50">
        <v>0.023308</v>
      </c>
      <c r="Y98" s="50">
        <v>0.598438</v>
      </c>
      <c r="Z98" s="50">
        <v>0.4166666666666667</v>
      </c>
      <c r="AA98" s="50">
        <v>0</v>
      </c>
      <c r="AB98" s="72">
        <v>98</v>
      </c>
      <c r="AC98" s="72"/>
      <c r="AD98" s="73"/>
      <c r="AE98" s="79" t="s">
        <v>1107</v>
      </c>
      <c r="AF98" s="88" t="s">
        <v>1269</v>
      </c>
      <c r="AG98" s="79">
        <v>755</v>
      </c>
      <c r="AH98" s="79">
        <v>133</v>
      </c>
      <c r="AI98" s="79">
        <v>11267</v>
      </c>
      <c r="AJ98" s="79">
        <v>4690</v>
      </c>
      <c r="AK98" s="79"/>
      <c r="AL98" s="79" t="s">
        <v>1430</v>
      </c>
      <c r="AM98" s="79"/>
      <c r="AN98" s="79"/>
      <c r="AO98" s="79"/>
      <c r="AP98" s="81">
        <v>44363.38060185185</v>
      </c>
      <c r="AQ98" s="84" t="str">
        <f>HYPERLINK("https://pbs.twimg.com/profile_banners/1405089740550930434/1633312494")</f>
        <v>https://pbs.twimg.com/profile_banners/1405089740550930434/1633312494</v>
      </c>
      <c r="AR98" s="79" t="b">
        <v>1</v>
      </c>
      <c r="AS98" s="79" t="b">
        <v>0</v>
      </c>
      <c r="AT98" s="79" t="b">
        <v>0</v>
      </c>
      <c r="AU98" s="79"/>
      <c r="AV98" s="79">
        <v>3</v>
      </c>
      <c r="AW98" s="79"/>
      <c r="AX98" s="79" t="b">
        <v>0</v>
      </c>
      <c r="AY98" s="79" t="s">
        <v>1601</v>
      </c>
      <c r="AZ98" s="84" t="str">
        <f>HYPERLINK("https://twitter.com/hana_soul_hack")</f>
        <v>https://twitter.com/hana_soul_hack</v>
      </c>
      <c r="BA98" s="79" t="s">
        <v>66</v>
      </c>
      <c r="BB98" s="79" t="str">
        <f>REPLACE(INDEX(GroupVertices[Group],MATCH(Vertices[[#This Row],[Vertex]],GroupVertices[Vertex],0)),1,1,"")</f>
        <v>1</v>
      </c>
      <c r="BC98" s="49" t="s">
        <v>1823</v>
      </c>
      <c r="BD98" s="49" t="s">
        <v>1823</v>
      </c>
      <c r="BE98" s="49" t="s">
        <v>528</v>
      </c>
      <c r="BF98" s="49" t="s">
        <v>528</v>
      </c>
      <c r="BG98" s="49"/>
      <c r="BH98" s="49"/>
      <c r="BI98" s="108" t="s">
        <v>2295</v>
      </c>
      <c r="BJ98" s="108" t="s">
        <v>2295</v>
      </c>
      <c r="BK98" s="108" t="s">
        <v>2151</v>
      </c>
      <c r="BL98" s="108" t="s">
        <v>2151</v>
      </c>
      <c r="BM98" s="108">
        <v>0</v>
      </c>
      <c r="BN98" s="111">
        <v>0</v>
      </c>
      <c r="BO98" s="108">
        <v>0</v>
      </c>
      <c r="BP98" s="111">
        <v>0</v>
      </c>
      <c r="BQ98" s="108">
        <v>0</v>
      </c>
      <c r="BR98" s="111">
        <v>0</v>
      </c>
      <c r="BS98" s="108">
        <v>34</v>
      </c>
      <c r="BT98" s="111">
        <v>100</v>
      </c>
      <c r="BU98" s="108">
        <v>34</v>
      </c>
      <c r="BV98" s="2"/>
      <c r="BW98" s="3"/>
      <c r="BX98" s="3"/>
      <c r="BY98" s="3"/>
      <c r="BZ98" s="3"/>
    </row>
    <row r="99" spans="1:78" ht="41.45" customHeight="1">
      <c r="A99" s="65" t="s">
        <v>297</v>
      </c>
      <c r="C99" s="66"/>
      <c r="D99" s="66" t="s">
        <v>64</v>
      </c>
      <c r="E99" s="67">
        <v>162.00353167975743</v>
      </c>
      <c r="F99" s="69"/>
      <c r="G99" s="103" t="str">
        <f>HYPERLINK("https://pbs.twimg.com/profile_images/1412907769376747525/W7bLBkKE_normal.jpg")</f>
        <v>https://pbs.twimg.com/profile_images/1412907769376747525/W7bLBkKE_normal.jpg</v>
      </c>
      <c r="H99" s="66"/>
      <c r="I99" s="70" t="s">
        <v>297</v>
      </c>
      <c r="J99" s="71"/>
      <c r="K99" s="71"/>
      <c r="L99" s="70" t="s">
        <v>1697</v>
      </c>
      <c r="M99" s="74">
        <v>1.0027019009436309</v>
      </c>
      <c r="N99" s="75">
        <v>702.5827026367188</v>
      </c>
      <c r="O99" s="75">
        <v>6668.01513671875</v>
      </c>
      <c r="P99" s="76"/>
      <c r="Q99" s="77"/>
      <c r="R99" s="77"/>
      <c r="S99" s="89"/>
      <c r="T99" s="49">
        <v>0</v>
      </c>
      <c r="U99" s="49">
        <v>4</v>
      </c>
      <c r="V99" s="50">
        <v>0.0625</v>
      </c>
      <c r="W99" s="50">
        <v>0.007092</v>
      </c>
      <c r="X99" s="50">
        <v>0.023308</v>
      </c>
      <c r="Y99" s="50">
        <v>0.598438</v>
      </c>
      <c r="Z99" s="50">
        <v>0.4166666666666667</v>
      </c>
      <c r="AA99" s="50">
        <v>0</v>
      </c>
      <c r="AB99" s="72">
        <v>99</v>
      </c>
      <c r="AC99" s="72"/>
      <c r="AD99" s="73"/>
      <c r="AE99" s="79" t="s">
        <v>1108</v>
      </c>
      <c r="AF99" s="88" t="s">
        <v>1270</v>
      </c>
      <c r="AG99" s="79">
        <v>62</v>
      </c>
      <c r="AH99" s="79">
        <v>7</v>
      </c>
      <c r="AI99" s="79">
        <v>444</v>
      </c>
      <c r="AJ99" s="79">
        <v>230</v>
      </c>
      <c r="AK99" s="79"/>
      <c r="AL99" s="79" t="s">
        <v>1431</v>
      </c>
      <c r="AM99" s="79"/>
      <c r="AN99" s="79"/>
      <c r="AO99" s="79"/>
      <c r="AP99" s="81">
        <v>44384.9503587963</v>
      </c>
      <c r="AQ99" s="79"/>
      <c r="AR99" s="79" t="b">
        <v>1</v>
      </c>
      <c r="AS99" s="79" t="b">
        <v>0</v>
      </c>
      <c r="AT99" s="79" t="b">
        <v>0</v>
      </c>
      <c r="AU99" s="79"/>
      <c r="AV99" s="79">
        <v>0</v>
      </c>
      <c r="AW99" s="79"/>
      <c r="AX99" s="79" t="b">
        <v>0</v>
      </c>
      <c r="AY99" s="79" t="s">
        <v>1601</v>
      </c>
      <c r="AZ99" s="84" t="str">
        <f>HYPERLINK("https://twitter.com/travermadondo")</f>
        <v>https://twitter.com/travermadondo</v>
      </c>
      <c r="BA99" s="79" t="s">
        <v>66</v>
      </c>
      <c r="BB99" s="79" t="str">
        <f>REPLACE(INDEX(GroupVertices[Group],MATCH(Vertices[[#This Row],[Vertex]],GroupVertices[Vertex],0)),1,1,"")</f>
        <v>1</v>
      </c>
      <c r="BC99" s="49" t="s">
        <v>1823</v>
      </c>
      <c r="BD99" s="49" t="s">
        <v>1823</v>
      </c>
      <c r="BE99" s="49" t="s">
        <v>528</v>
      </c>
      <c r="BF99" s="49" t="s">
        <v>528</v>
      </c>
      <c r="BG99" s="49"/>
      <c r="BH99" s="49"/>
      <c r="BI99" s="108" t="s">
        <v>2295</v>
      </c>
      <c r="BJ99" s="108" t="s">
        <v>2295</v>
      </c>
      <c r="BK99" s="108" t="s">
        <v>2151</v>
      </c>
      <c r="BL99" s="108" t="s">
        <v>2151</v>
      </c>
      <c r="BM99" s="108">
        <v>0</v>
      </c>
      <c r="BN99" s="111">
        <v>0</v>
      </c>
      <c r="BO99" s="108">
        <v>0</v>
      </c>
      <c r="BP99" s="111">
        <v>0</v>
      </c>
      <c r="BQ99" s="108">
        <v>0</v>
      </c>
      <c r="BR99" s="111">
        <v>0</v>
      </c>
      <c r="BS99" s="108">
        <v>34</v>
      </c>
      <c r="BT99" s="111">
        <v>100</v>
      </c>
      <c r="BU99" s="108">
        <v>34</v>
      </c>
      <c r="BV99" s="2"/>
      <c r="BW99" s="3"/>
      <c r="BX99" s="3"/>
      <c r="BY99" s="3"/>
      <c r="BZ99" s="3"/>
    </row>
    <row r="100" spans="1:78" ht="41.45" customHeight="1">
      <c r="A100" s="65" t="s">
        <v>298</v>
      </c>
      <c r="C100" s="66"/>
      <c r="D100" s="66" t="s">
        <v>64</v>
      </c>
      <c r="E100" s="67">
        <v>162.37284447725</v>
      </c>
      <c r="F100" s="69"/>
      <c r="G100" s="103" t="str">
        <f>HYPERLINK("https://pbs.twimg.com/profile_images/1413833737918246913/UoQbMaOD_normal.jpg")</f>
        <v>https://pbs.twimg.com/profile_images/1413833737918246913/UoQbMaOD_normal.jpg</v>
      </c>
      <c r="H100" s="66"/>
      <c r="I100" s="70" t="s">
        <v>298</v>
      </c>
      <c r="J100" s="71"/>
      <c r="K100" s="71"/>
      <c r="L100" s="70" t="s">
        <v>1698</v>
      </c>
      <c r="M100" s="74">
        <v>1.285243542477592</v>
      </c>
      <c r="N100" s="75">
        <v>6785.5537109375</v>
      </c>
      <c r="O100" s="75">
        <v>3154.134765625</v>
      </c>
      <c r="P100" s="76"/>
      <c r="Q100" s="77"/>
      <c r="R100" s="77"/>
      <c r="S100" s="89"/>
      <c r="T100" s="49">
        <v>0</v>
      </c>
      <c r="U100" s="49">
        <v>1</v>
      </c>
      <c r="V100" s="50">
        <v>0</v>
      </c>
      <c r="W100" s="50">
        <v>0.333333</v>
      </c>
      <c r="X100" s="50">
        <v>0</v>
      </c>
      <c r="Y100" s="50">
        <v>0.638296</v>
      </c>
      <c r="Z100" s="50">
        <v>0</v>
      </c>
      <c r="AA100" s="50">
        <v>0</v>
      </c>
      <c r="AB100" s="72">
        <v>100</v>
      </c>
      <c r="AC100" s="72"/>
      <c r="AD100" s="73"/>
      <c r="AE100" s="79" t="s">
        <v>1109</v>
      </c>
      <c r="AF100" s="88" t="s">
        <v>1271</v>
      </c>
      <c r="AG100" s="79">
        <v>4998</v>
      </c>
      <c r="AH100" s="79">
        <v>739</v>
      </c>
      <c r="AI100" s="79">
        <v>17552</v>
      </c>
      <c r="AJ100" s="79">
        <v>3155</v>
      </c>
      <c r="AK100" s="79"/>
      <c r="AL100" s="79" t="s">
        <v>1432</v>
      </c>
      <c r="AM100" s="79"/>
      <c r="AN100" s="79"/>
      <c r="AO100" s="79"/>
      <c r="AP100" s="81">
        <v>39952.62232638889</v>
      </c>
      <c r="AQ100" s="79"/>
      <c r="AR100" s="79" t="b">
        <v>1</v>
      </c>
      <c r="AS100" s="79" t="b">
        <v>0</v>
      </c>
      <c r="AT100" s="79" t="b">
        <v>0</v>
      </c>
      <c r="AU100" s="79"/>
      <c r="AV100" s="79">
        <v>4</v>
      </c>
      <c r="AW100" s="84" t="str">
        <f>HYPERLINK("https://abs.twimg.com/images/themes/theme1/bg.png")</f>
        <v>https://abs.twimg.com/images/themes/theme1/bg.png</v>
      </c>
      <c r="AX100" s="79" t="b">
        <v>0</v>
      </c>
      <c r="AY100" s="79" t="s">
        <v>1601</v>
      </c>
      <c r="AZ100" s="84" t="str">
        <f>HYPERLINK("https://twitter.com/greenassam")</f>
        <v>https://twitter.com/greenassam</v>
      </c>
      <c r="BA100" s="79" t="s">
        <v>66</v>
      </c>
      <c r="BB100" s="79" t="str">
        <f>REPLACE(INDEX(GroupVertices[Group],MATCH(Vertices[[#This Row],[Vertex]],GroupVertices[Vertex],0)),1,1,"")</f>
        <v>12</v>
      </c>
      <c r="BC100" s="49" t="s">
        <v>1888</v>
      </c>
      <c r="BD100" s="49" t="s">
        <v>1888</v>
      </c>
      <c r="BE100" s="49" t="s">
        <v>525</v>
      </c>
      <c r="BF100" s="49" t="s">
        <v>525</v>
      </c>
      <c r="BG100" s="49" t="s">
        <v>557</v>
      </c>
      <c r="BH100" s="49" t="s">
        <v>557</v>
      </c>
      <c r="BI100" s="108" t="s">
        <v>2311</v>
      </c>
      <c r="BJ100" s="108" t="s">
        <v>2311</v>
      </c>
      <c r="BK100" s="108" t="s">
        <v>2160</v>
      </c>
      <c r="BL100" s="108" t="s">
        <v>2160</v>
      </c>
      <c r="BM100" s="108">
        <v>0</v>
      </c>
      <c r="BN100" s="111">
        <v>0</v>
      </c>
      <c r="BO100" s="108">
        <v>0</v>
      </c>
      <c r="BP100" s="111">
        <v>0</v>
      </c>
      <c r="BQ100" s="108">
        <v>0</v>
      </c>
      <c r="BR100" s="111">
        <v>0</v>
      </c>
      <c r="BS100" s="108">
        <v>12</v>
      </c>
      <c r="BT100" s="111">
        <v>100</v>
      </c>
      <c r="BU100" s="108">
        <v>12</v>
      </c>
      <c r="BV100" s="2"/>
      <c r="BW100" s="3"/>
      <c r="BX100" s="3"/>
      <c r="BY100" s="3"/>
      <c r="BZ100" s="3"/>
    </row>
    <row r="101" spans="1:78" ht="41.45" customHeight="1">
      <c r="A101" s="65" t="s">
        <v>299</v>
      </c>
      <c r="C101" s="66"/>
      <c r="D101" s="66" t="s">
        <v>64</v>
      </c>
      <c r="E101" s="67">
        <v>162.00605430815563</v>
      </c>
      <c r="F101" s="69"/>
      <c r="G101" s="103" t="str">
        <f>HYPERLINK("https://pbs.twimg.com/profile_images/1442898995135729665/9EcK_O4G_normal.jpg")</f>
        <v>https://pbs.twimg.com/profile_images/1442898995135729665/9EcK_O4G_normal.jpg</v>
      </c>
      <c r="H101" s="66"/>
      <c r="I101" s="70" t="s">
        <v>299</v>
      </c>
      <c r="J101" s="71"/>
      <c r="K101" s="71"/>
      <c r="L101" s="70" t="s">
        <v>1699</v>
      </c>
      <c r="M101" s="74">
        <v>1.0046318301890813</v>
      </c>
      <c r="N101" s="75">
        <v>2075.198974609375</v>
      </c>
      <c r="O101" s="75">
        <v>8722.791015625</v>
      </c>
      <c r="P101" s="76"/>
      <c r="Q101" s="77"/>
      <c r="R101" s="77"/>
      <c r="S101" s="89"/>
      <c r="T101" s="49">
        <v>0</v>
      </c>
      <c r="U101" s="49">
        <v>4</v>
      </c>
      <c r="V101" s="50">
        <v>0.0625</v>
      </c>
      <c r="W101" s="50">
        <v>0.007092</v>
      </c>
      <c r="X101" s="50">
        <v>0.023308</v>
      </c>
      <c r="Y101" s="50">
        <v>0.598438</v>
      </c>
      <c r="Z101" s="50">
        <v>0.4166666666666667</v>
      </c>
      <c r="AA101" s="50">
        <v>0</v>
      </c>
      <c r="AB101" s="72">
        <v>101</v>
      </c>
      <c r="AC101" s="72"/>
      <c r="AD101" s="73"/>
      <c r="AE101" s="79" t="s">
        <v>1110</v>
      </c>
      <c r="AF101" s="88" t="s">
        <v>1272</v>
      </c>
      <c r="AG101" s="79">
        <v>62</v>
      </c>
      <c r="AH101" s="79">
        <v>12</v>
      </c>
      <c r="AI101" s="79">
        <v>1614</v>
      </c>
      <c r="AJ101" s="79">
        <v>2415</v>
      </c>
      <c r="AK101" s="79"/>
      <c r="AL101" s="79" t="s">
        <v>1433</v>
      </c>
      <c r="AM101" s="79" t="s">
        <v>1563</v>
      </c>
      <c r="AN101" s="84" t="str">
        <f>HYPERLINK("https://t.co/iMbNLydvdh")</f>
        <v>https://t.co/iMbNLydvdh</v>
      </c>
      <c r="AO101" s="79"/>
      <c r="AP101" s="81">
        <v>44245.09013888889</v>
      </c>
      <c r="AQ101" s="79"/>
      <c r="AR101" s="79" t="b">
        <v>1</v>
      </c>
      <c r="AS101" s="79" t="b">
        <v>0</v>
      </c>
      <c r="AT101" s="79" t="b">
        <v>0</v>
      </c>
      <c r="AU101" s="79"/>
      <c r="AV101" s="79">
        <v>0</v>
      </c>
      <c r="AW101" s="79"/>
      <c r="AX101" s="79" t="b">
        <v>0</v>
      </c>
      <c r="AY101" s="79" t="s">
        <v>1601</v>
      </c>
      <c r="AZ101" s="84" t="str">
        <f>HYPERLINK("https://twitter.com/georgerowell12")</f>
        <v>https://twitter.com/georgerowell12</v>
      </c>
      <c r="BA101" s="79" t="s">
        <v>66</v>
      </c>
      <c r="BB101" s="79" t="str">
        <f>REPLACE(INDEX(GroupVertices[Group],MATCH(Vertices[[#This Row],[Vertex]],GroupVertices[Vertex],0)),1,1,"")</f>
        <v>1</v>
      </c>
      <c r="BC101" s="49" t="s">
        <v>2250</v>
      </c>
      <c r="BD101" s="49" t="s">
        <v>2250</v>
      </c>
      <c r="BE101" s="49" t="s">
        <v>528</v>
      </c>
      <c r="BF101" s="49" t="s">
        <v>528</v>
      </c>
      <c r="BG101" s="49"/>
      <c r="BH101" s="49"/>
      <c r="BI101" s="108" t="s">
        <v>2295</v>
      </c>
      <c r="BJ101" s="108" t="s">
        <v>2295</v>
      </c>
      <c r="BK101" s="108" t="s">
        <v>2151</v>
      </c>
      <c r="BL101" s="108" t="s">
        <v>2151</v>
      </c>
      <c r="BM101" s="108">
        <v>0</v>
      </c>
      <c r="BN101" s="111">
        <v>0</v>
      </c>
      <c r="BO101" s="108">
        <v>0</v>
      </c>
      <c r="BP101" s="111">
        <v>0</v>
      </c>
      <c r="BQ101" s="108">
        <v>0</v>
      </c>
      <c r="BR101" s="111">
        <v>0</v>
      </c>
      <c r="BS101" s="108">
        <v>68</v>
      </c>
      <c r="BT101" s="111">
        <v>100</v>
      </c>
      <c r="BU101" s="108">
        <v>68</v>
      </c>
      <c r="BV101" s="2"/>
      <c r="BW101" s="3"/>
      <c r="BX101" s="3"/>
      <c r="BY101" s="3"/>
      <c r="BZ101" s="3"/>
    </row>
    <row r="102" spans="1:78" ht="41.45" customHeight="1">
      <c r="A102" s="65" t="s">
        <v>300</v>
      </c>
      <c r="C102" s="66"/>
      <c r="D102" s="66" t="s">
        <v>64</v>
      </c>
      <c r="E102" s="67">
        <v>162.03077606645772</v>
      </c>
      <c r="F102" s="69"/>
      <c r="G102" s="103" t="str">
        <f>HYPERLINK("https://abs.twimg.com/sticky/default_profile_images/default_profile_normal.png")</f>
        <v>https://abs.twimg.com/sticky/default_profile_images/default_profile_normal.png</v>
      </c>
      <c r="H102" s="66"/>
      <c r="I102" s="70" t="s">
        <v>300</v>
      </c>
      <c r="J102" s="71"/>
      <c r="K102" s="71"/>
      <c r="L102" s="70" t="s">
        <v>1700</v>
      </c>
      <c r="M102" s="74">
        <v>1.0235451367944968</v>
      </c>
      <c r="N102" s="75">
        <v>2612.645263671875</v>
      </c>
      <c r="O102" s="75">
        <v>8240.0146484375</v>
      </c>
      <c r="P102" s="76"/>
      <c r="Q102" s="77"/>
      <c r="R102" s="77"/>
      <c r="S102" s="89"/>
      <c r="T102" s="49">
        <v>0</v>
      </c>
      <c r="U102" s="49">
        <v>4</v>
      </c>
      <c r="V102" s="50">
        <v>0.0625</v>
      </c>
      <c r="W102" s="50">
        <v>0.007092</v>
      </c>
      <c r="X102" s="50">
        <v>0.023308</v>
      </c>
      <c r="Y102" s="50">
        <v>0.598438</v>
      </c>
      <c r="Z102" s="50">
        <v>0.4166666666666667</v>
      </c>
      <c r="AA102" s="50">
        <v>0</v>
      </c>
      <c r="AB102" s="72">
        <v>102</v>
      </c>
      <c r="AC102" s="72"/>
      <c r="AD102" s="73"/>
      <c r="AE102" s="79" t="s">
        <v>1111</v>
      </c>
      <c r="AF102" s="88" t="s">
        <v>1273</v>
      </c>
      <c r="AG102" s="79">
        <v>213</v>
      </c>
      <c r="AH102" s="79">
        <v>61</v>
      </c>
      <c r="AI102" s="79">
        <v>18825</v>
      </c>
      <c r="AJ102" s="79">
        <v>10690</v>
      </c>
      <c r="AK102" s="79"/>
      <c r="AL102" s="79"/>
      <c r="AM102" s="79"/>
      <c r="AN102" s="79"/>
      <c r="AO102" s="79"/>
      <c r="AP102" s="81">
        <v>43826.084282407406</v>
      </c>
      <c r="AQ102" s="79"/>
      <c r="AR102" s="79" t="b">
        <v>1</v>
      </c>
      <c r="AS102" s="79" t="b">
        <v>1</v>
      </c>
      <c r="AT102" s="79" t="b">
        <v>0</v>
      </c>
      <c r="AU102" s="79"/>
      <c r="AV102" s="79">
        <v>0</v>
      </c>
      <c r="AW102" s="79"/>
      <c r="AX102" s="79" t="b">
        <v>0</v>
      </c>
      <c r="AY102" s="79" t="s">
        <v>1601</v>
      </c>
      <c r="AZ102" s="84" t="str">
        <f>HYPERLINK("https://twitter.com/sadam08499791")</f>
        <v>https://twitter.com/sadam08499791</v>
      </c>
      <c r="BA102" s="79" t="s">
        <v>66</v>
      </c>
      <c r="BB102" s="79" t="str">
        <f>REPLACE(INDEX(GroupVertices[Group],MATCH(Vertices[[#This Row],[Vertex]],GroupVertices[Vertex],0)),1,1,"")</f>
        <v>1</v>
      </c>
      <c r="BC102" s="49" t="s">
        <v>1823</v>
      </c>
      <c r="BD102" s="49" t="s">
        <v>1823</v>
      </c>
      <c r="BE102" s="49" t="s">
        <v>528</v>
      </c>
      <c r="BF102" s="49" t="s">
        <v>528</v>
      </c>
      <c r="BG102" s="49"/>
      <c r="BH102" s="49"/>
      <c r="BI102" s="108" t="s">
        <v>2295</v>
      </c>
      <c r="BJ102" s="108" t="s">
        <v>2295</v>
      </c>
      <c r="BK102" s="108" t="s">
        <v>2151</v>
      </c>
      <c r="BL102" s="108" t="s">
        <v>2151</v>
      </c>
      <c r="BM102" s="108">
        <v>0</v>
      </c>
      <c r="BN102" s="111">
        <v>0</v>
      </c>
      <c r="BO102" s="108">
        <v>0</v>
      </c>
      <c r="BP102" s="111">
        <v>0</v>
      </c>
      <c r="BQ102" s="108">
        <v>0</v>
      </c>
      <c r="BR102" s="111">
        <v>0</v>
      </c>
      <c r="BS102" s="108">
        <v>34</v>
      </c>
      <c r="BT102" s="111">
        <v>100</v>
      </c>
      <c r="BU102" s="108">
        <v>34</v>
      </c>
      <c r="BV102" s="2"/>
      <c r="BW102" s="3"/>
      <c r="BX102" s="3"/>
      <c r="BY102" s="3"/>
      <c r="BZ102" s="3"/>
    </row>
    <row r="103" spans="1:78" ht="41.45" customHeight="1">
      <c r="A103" s="65" t="s">
        <v>301</v>
      </c>
      <c r="C103" s="66"/>
      <c r="D103" s="66" t="s">
        <v>64</v>
      </c>
      <c r="E103" s="67">
        <v>162.25024473709877</v>
      </c>
      <c r="F103" s="69"/>
      <c r="G103" s="103" t="str">
        <f>HYPERLINK("https://pbs.twimg.com/profile_images/1276126604767506432/v5TAI32z_normal.jpg")</f>
        <v>https://pbs.twimg.com/profile_images/1276126604767506432/v5TAI32z_normal.jpg</v>
      </c>
      <c r="H103" s="66"/>
      <c r="I103" s="70" t="s">
        <v>301</v>
      </c>
      <c r="J103" s="71"/>
      <c r="K103" s="71"/>
      <c r="L103" s="70" t="s">
        <v>1701</v>
      </c>
      <c r="M103" s="74">
        <v>1.191448981148695</v>
      </c>
      <c r="N103" s="75">
        <v>3068.978515625</v>
      </c>
      <c r="O103" s="75">
        <v>8347.2734375</v>
      </c>
      <c r="P103" s="76"/>
      <c r="Q103" s="77"/>
      <c r="R103" s="77"/>
      <c r="S103" s="89"/>
      <c r="T103" s="49">
        <v>0</v>
      </c>
      <c r="U103" s="49">
        <v>4</v>
      </c>
      <c r="V103" s="50">
        <v>0.0625</v>
      </c>
      <c r="W103" s="50">
        <v>0.007092</v>
      </c>
      <c r="X103" s="50">
        <v>0.023308</v>
      </c>
      <c r="Y103" s="50">
        <v>0.598438</v>
      </c>
      <c r="Z103" s="50">
        <v>0.4166666666666667</v>
      </c>
      <c r="AA103" s="50">
        <v>0</v>
      </c>
      <c r="AB103" s="72">
        <v>103</v>
      </c>
      <c r="AC103" s="72"/>
      <c r="AD103" s="73"/>
      <c r="AE103" s="79" t="s">
        <v>1112</v>
      </c>
      <c r="AF103" s="88" t="s">
        <v>1274</v>
      </c>
      <c r="AG103" s="79">
        <v>341</v>
      </c>
      <c r="AH103" s="79">
        <v>496</v>
      </c>
      <c r="AI103" s="79">
        <v>2662</v>
      </c>
      <c r="AJ103" s="79">
        <v>4098</v>
      </c>
      <c r="AK103" s="79"/>
      <c r="AL103" s="79" t="s">
        <v>1434</v>
      </c>
      <c r="AM103" s="79" t="s">
        <v>1564</v>
      </c>
      <c r="AN103" s="84" t="str">
        <f>HYPERLINK("https://t.co/fWXgi6elmw")</f>
        <v>https://t.co/fWXgi6elmw</v>
      </c>
      <c r="AO103" s="79"/>
      <c r="AP103" s="81">
        <v>44007.45716435185</v>
      </c>
      <c r="AQ103" s="84" t="str">
        <f>HYPERLINK("https://pbs.twimg.com/profile_banners/1276107374378582016/1625117446")</f>
        <v>https://pbs.twimg.com/profile_banners/1276107374378582016/1625117446</v>
      </c>
      <c r="AR103" s="79" t="b">
        <v>1</v>
      </c>
      <c r="AS103" s="79" t="b">
        <v>0</v>
      </c>
      <c r="AT103" s="79" t="b">
        <v>0</v>
      </c>
      <c r="AU103" s="79"/>
      <c r="AV103" s="79">
        <v>12</v>
      </c>
      <c r="AW103" s="79"/>
      <c r="AX103" s="79" t="b">
        <v>0</v>
      </c>
      <c r="AY103" s="79" t="s">
        <v>1601</v>
      </c>
      <c r="AZ103" s="84" t="str">
        <f>HYPERLINK("https://twitter.com/orbitalgardens")</f>
        <v>https://twitter.com/orbitalgardens</v>
      </c>
      <c r="BA103" s="79" t="s">
        <v>66</v>
      </c>
      <c r="BB103" s="79" t="str">
        <f>REPLACE(INDEX(GroupVertices[Group],MATCH(Vertices[[#This Row],[Vertex]],GroupVertices[Vertex],0)),1,1,"")</f>
        <v>1</v>
      </c>
      <c r="BC103" s="49" t="s">
        <v>1823</v>
      </c>
      <c r="BD103" s="49" t="s">
        <v>1823</v>
      </c>
      <c r="BE103" s="49" t="s">
        <v>528</v>
      </c>
      <c r="BF103" s="49" t="s">
        <v>528</v>
      </c>
      <c r="BG103" s="49"/>
      <c r="BH103" s="49"/>
      <c r="BI103" s="108" t="s">
        <v>2295</v>
      </c>
      <c r="BJ103" s="108" t="s">
        <v>2295</v>
      </c>
      <c r="BK103" s="108" t="s">
        <v>2151</v>
      </c>
      <c r="BL103" s="108" t="s">
        <v>2151</v>
      </c>
      <c r="BM103" s="108">
        <v>0</v>
      </c>
      <c r="BN103" s="111">
        <v>0</v>
      </c>
      <c r="BO103" s="108">
        <v>0</v>
      </c>
      <c r="BP103" s="111">
        <v>0</v>
      </c>
      <c r="BQ103" s="108">
        <v>0</v>
      </c>
      <c r="BR103" s="111">
        <v>0</v>
      </c>
      <c r="BS103" s="108">
        <v>34</v>
      </c>
      <c r="BT103" s="111">
        <v>100</v>
      </c>
      <c r="BU103" s="108">
        <v>34</v>
      </c>
      <c r="BV103" s="2"/>
      <c r="BW103" s="3"/>
      <c r="BX103" s="3"/>
      <c r="BY103" s="3"/>
      <c r="BZ103" s="3"/>
    </row>
    <row r="104" spans="1:78" ht="41.45" customHeight="1">
      <c r="A104" s="65" t="s">
        <v>302</v>
      </c>
      <c r="C104" s="66"/>
      <c r="D104" s="66" t="s">
        <v>64</v>
      </c>
      <c r="E104" s="67">
        <v>162.4676953050213</v>
      </c>
      <c r="F104" s="69"/>
      <c r="G104" s="103" t="str">
        <f>HYPERLINK("https://pbs.twimg.com/profile_images/1291052047643471872/WtgzbTp7_normal.jpg")</f>
        <v>https://pbs.twimg.com/profile_images/1291052047643471872/WtgzbTp7_normal.jpg</v>
      </c>
      <c r="H104" s="66"/>
      <c r="I104" s="70" t="s">
        <v>302</v>
      </c>
      <c r="J104" s="71"/>
      <c r="K104" s="71"/>
      <c r="L104" s="70" t="s">
        <v>1702</v>
      </c>
      <c r="M104" s="74">
        <v>1.357808882106533</v>
      </c>
      <c r="N104" s="75">
        <v>1694.9708251953125</v>
      </c>
      <c r="O104" s="75">
        <v>9180.1416015625</v>
      </c>
      <c r="P104" s="76"/>
      <c r="Q104" s="77"/>
      <c r="R104" s="77"/>
      <c r="S104" s="89"/>
      <c r="T104" s="49">
        <v>0</v>
      </c>
      <c r="U104" s="49">
        <v>4</v>
      </c>
      <c r="V104" s="50">
        <v>0.0625</v>
      </c>
      <c r="W104" s="50">
        <v>0.007092</v>
      </c>
      <c r="X104" s="50">
        <v>0.023308</v>
      </c>
      <c r="Y104" s="50">
        <v>0.598438</v>
      </c>
      <c r="Z104" s="50">
        <v>0.4166666666666667</v>
      </c>
      <c r="AA104" s="50">
        <v>0</v>
      </c>
      <c r="AB104" s="72">
        <v>104</v>
      </c>
      <c r="AC104" s="72"/>
      <c r="AD104" s="73"/>
      <c r="AE104" s="79" t="s">
        <v>1113</v>
      </c>
      <c r="AF104" s="88" t="s">
        <v>1275</v>
      </c>
      <c r="AG104" s="79">
        <v>393</v>
      </c>
      <c r="AH104" s="79">
        <v>927</v>
      </c>
      <c r="AI104" s="79">
        <v>280</v>
      </c>
      <c r="AJ104" s="79">
        <v>248</v>
      </c>
      <c r="AK104" s="79"/>
      <c r="AL104" s="79" t="s">
        <v>1435</v>
      </c>
      <c r="AM104" s="79" t="s">
        <v>1532</v>
      </c>
      <c r="AN104" s="84" t="str">
        <f>HYPERLINK("https://t.co/Y5vSMguRLH")</f>
        <v>https://t.co/Y5vSMguRLH</v>
      </c>
      <c r="AO104" s="79"/>
      <c r="AP104" s="81">
        <v>42781.75879629629</v>
      </c>
      <c r="AQ104" s="84" t="str">
        <f>HYPERLINK("https://pbs.twimg.com/profile_banners/831929233610067968/1596646401")</f>
        <v>https://pbs.twimg.com/profile_banners/831929233610067968/1596646401</v>
      </c>
      <c r="AR104" s="79" t="b">
        <v>1</v>
      </c>
      <c r="AS104" s="79" t="b">
        <v>0</v>
      </c>
      <c r="AT104" s="79" t="b">
        <v>0</v>
      </c>
      <c r="AU104" s="79"/>
      <c r="AV104" s="79">
        <v>35</v>
      </c>
      <c r="AW104" s="79"/>
      <c r="AX104" s="79" t="b">
        <v>0</v>
      </c>
      <c r="AY104" s="79" t="s">
        <v>1601</v>
      </c>
      <c r="AZ104" s="84" t="str">
        <f>HYPERLINK("https://twitter.com/loucoop18")</f>
        <v>https://twitter.com/loucoop18</v>
      </c>
      <c r="BA104" s="79" t="s">
        <v>66</v>
      </c>
      <c r="BB104" s="79" t="str">
        <f>REPLACE(INDEX(GroupVertices[Group],MATCH(Vertices[[#This Row],[Vertex]],GroupVertices[Vertex],0)),1,1,"")</f>
        <v>1</v>
      </c>
      <c r="BC104" s="49" t="s">
        <v>1823</v>
      </c>
      <c r="BD104" s="49" t="s">
        <v>1823</v>
      </c>
      <c r="BE104" s="49" t="s">
        <v>528</v>
      </c>
      <c r="BF104" s="49" t="s">
        <v>528</v>
      </c>
      <c r="BG104" s="49"/>
      <c r="BH104" s="49"/>
      <c r="BI104" s="108" t="s">
        <v>2295</v>
      </c>
      <c r="BJ104" s="108" t="s">
        <v>2295</v>
      </c>
      <c r="BK104" s="108" t="s">
        <v>2151</v>
      </c>
      <c r="BL104" s="108" t="s">
        <v>2151</v>
      </c>
      <c r="BM104" s="108">
        <v>0</v>
      </c>
      <c r="BN104" s="111">
        <v>0</v>
      </c>
      <c r="BO104" s="108">
        <v>0</v>
      </c>
      <c r="BP104" s="111">
        <v>0</v>
      </c>
      <c r="BQ104" s="108">
        <v>0</v>
      </c>
      <c r="BR104" s="111">
        <v>0</v>
      </c>
      <c r="BS104" s="108">
        <v>34</v>
      </c>
      <c r="BT104" s="111">
        <v>100</v>
      </c>
      <c r="BU104" s="108">
        <v>34</v>
      </c>
      <c r="BV104" s="2"/>
      <c r="BW104" s="3"/>
      <c r="BX104" s="3"/>
      <c r="BY104" s="3"/>
      <c r="BZ104" s="3"/>
    </row>
    <row r="105" spans="1:78" ht="41.45" customHeight="1">
      <c r="A105" s="65" t="s">
        <v>303</v>
      </c>
      <c r="C105" s="66"/>
      <c r="D105" s="66" t="s">
        <v>64</v>
      </c>
      <c r="E105" s="67">
        <v>164.01911176989776</v>
      </c>
      <c r="F105" s="69"/>
      <c r="G105" s="103" t="str">
        <f>HYPERLINK("https://pbs.twimg.com/profile_images/1189786051981795328/Yq32o3Co_normal.jpg")</f>
        <v>https://pbs.twimg.com/profile_images/1189786051981795328/Yq32o3Co_normal.jpg</v>
      </c>
      <c r="H105" s="66"/>
      <c r="I105" s="70" t="s">
        <v>303</v>
      </c>
      <c r="J105" s="71"/>
      <c r="K105" s="71"/>
      <c r="L105" s="70" t="s">
        <v>1703</v>
      </c>
      <c r="M105" s="74">
        <v>2.5447153680586245</v>
      </c>
      <c r="N105" s="75">
        <v>2998.492431640625</v>
      </c>
      <c r="O105" s="75">
        <v>1864.9967041015625</v>
      </c>
      <c r="P105" s="76"/>
      <c r="Q105" s="77"/>
      <c r="R105" s="77"/>
      <c r="S105" s="89"/>
      <c r="T105" s="49">
        <v>1</v>
      </c>
      <c r="U105" s="49">
        <v>1</v>
      </c>
      <c r="V105" s="50">
        <v>0</v>
      </c>
      <c r="W105" s="50">
        <v>0</v>
      </c>
      <c r="X105" s="50">
        <v>0</v>
      </c>
      <c r="Y105" s="50">
        <v>0.999997</v>
      </c>
      <c r="Z105" s="50">
        <v>0</v>
      </c>
      <c r="AA105" s="50">
        <v>0</v>
      </c>
      <c r="AB105" s="72">
        <v>105</v>
      </c>
      <c r="AC105" s="72"/>
      <c r="AD105" s="73"/>
      <c r="AE105" s="79" t="s">
        <v>1114</v>
      </c>
      <c r="AF105" s="88" t="s">
        <v>1276</v>
      </c>
      <c r="AG105" s="79">
        <v>3593</v>
      </c>
      <c r="AH105" s="79">
        <v>4002</v>
      </c>
      <c r="AI105" s="79">
        <v>34396</v>
      </c>
      <c r="AJ105" s="79">
        <v>2079</v>
      </c>
      <c r="AK105" s="79"/>
      <c r="AL105" s="79" t="s">
        <v>1436</v>
      </c>
      <c r="AM105" s="79" t="s">
        <v>1522</v>
      </c>
      <c r="AN105" s="84" t="str">
        <f>HYPERLINK("https://t.co/aKHC1madP7")</f>
        <v>https://t.co/aKHC1madP7</v>
      </c>
      <c r="AO105" s="79"/>
      <c r="AP105" s="81">
        <v>39867.405543981484</v>
      </c>
      <c r="AQ105" s="84" t="str">
        <f>HYPERLINK("https://pbs.twimg.com/profile_banners/21642560/1572502076")</f>
        <v>https://pbs.twimg.com/profile_banners/21642560/1572502076</v>
      </c>
      <c r="AR105" s="79" t="b">
        <v>0</v>
      </c>
      <c r="AS105" s="79" t="b">
        <v>0</v>
      </c>
      <c r="AT105" s="79" t="b">
        <v>1</v>
      </c>
      <c r="AU105" s="79"/>
      <c r="AV105" s="79">
        <v>81</v>
      </c>
      <c r="AW105" s="84" t="str">
        <f>HYPERLINK("https://abs.twimg.com/images/themes/theme14/bg.gif")</f>
        <v>https://abs.twimg.com/images/themes/theme14/bg.gif</v>
      </c>
      <c r="AX105" s="79" t="b">
        <v>0</v>
      </c>
      <c r="AY105" s="79" t="s">
        <v>1601</v>
      </c>
      <c r="AZ105" s="84" t="str">
        <f>HYPERLINK("https://twitter.com/reginabanali")</f>
        <v>https://twitter.com/reginabanali</v>
      </c>
      <c r="BA105" s="79" t="s">
        <v>66</v>
      </c>
      <c r="BB105" s="79" t="str">
        <f>REPLACE(INDEX(GroupVertices[Group],MATCH(Vertices[[#This Row],[Vertex]],GroupVertices[Vertex],0)),1,1,"")</f>
        <v>2</v>
      </c>
      <c r="BC105" s="49" t="s">
        <v>2251</v>
      </c>
      <c r="BD105" s="49" t="s">
        <v>2251</v>
      </c>
      <c r="BE105" s="49" t="s">
        <v>532</v>
      </c>
      <c r="BF105" s="49" t="s">
        <v>532</v>
      </c>
      <c r="BG105" s="49"/>
      <c r="BH105" s="49"/>
      <c r="BI105" s="108" t="s">
        <v>2309</v>
      </c>
      <c r="BJ105" s="108" t="s">
        <v>2309</v>
      </c>
      <c r="BK105" s="108" t="s">
        <v>2161</v>
      </c>
      <c r="BL105" s="108" t="s">
        <v>2161</v>
      </c>
      <c r="BM105" s="108">
        <v>0</v>
      </c>
      <c r="BN105" s="111">
        <v>0</v>
      </c>
      <c r="BO105" s="108">
        <v>0</v>
      </c>
      <c r="BP105" s="111">
        <v>0</v>
      </c>
      <c r="BQ105" s="108">
        <v>0</v>
      </c>
      <c r="BR105" s="111">
        <v>0</v>
      </c>
      <c r="BS105" s="108">
        <v>11</v>
      </c>
      <c r="BT105" s="111">
        <v>100</v>
      </c>
      <c r="BU105" s="108">
        <v>11</v>
      </c>
      <c r="BV105" s="2"/>
      <c r="BW105" s="3"/>
      <c r="BX105" s="3"/>
      <c r="BY105" s="3"/>
      <c r="BZ105" s="3"/>
    </row>
    <row r="106" spans="1:78" ht="41.45" customHeight="1">
      <c r="A106" s="65" t="s">
        <v>304</v>
      </c>
      <c r="C106" s="66"/>
      <c r="D106" s="66" t="s">
        <v>64</v>
      </c>
      <c r="E106" s="67">
        <v>163.17352673083013</v>
      </c>
      <c r="F106" s="69"/>
      <c r="G106" s="103" t="str">
        <f>HYPERLINK("https://pbs.twimg.com/profile_images/1062606485388230656/HKxQrNsP_normal.jpg")</f>
        <v>https://pbs.twimg.com/profile_images/1062606485388230656/HKxQrNsP_normal.jpg</v>
      </c>
      <c r="H106" s="66"/>
      <c r="I106" s="70" t="s">
        <v>304</v>
      </c>
      <c r="J106" s="71"/>
      <c r="K106" s="71"/>
      <c r="L106" s="70" t="s">
        <v>1704</v>
      </c>
      <c r="M106" s="74">
        <v>1.8978030849835985</v>
      </c>
      <c r="N106" s="75">
        <v>4563.83251953125</v>
      </c>
      <c r="O106" s="75">
        <v>1145.5904541015625</v>
      </c>
      <c r="P106" s="76"/>
      <c r="Q106" s="77"/>
      <c r="R106" s="77"/>
      <c r="S106" s="89"/>
      <c r="T106" s="49">
        <v>0</v>
      </c>
      <c r="U106" s="49">
        <v>3</v>
      </c>
      <c r="V106" s="50">
        <v>0</v>
      </c>
      <c r="W106" s="50">
        <v>0.045455</v>
      </c>
      <c r="X106" s="50">
        <v>0</v>
      </c>
      <c r="Y106" s="50">
        <v>0.70157</v>
      </c>
      <c r="Z106" s="50">
        <v>0.6666666666666666</v>
      </c>
      <c r="AA106" s="50">
        <v>0</v>
      </c>
      <c r="AB106" s="72">
        <v>106</v>
      </c>
      <c r="AC106" s="72"/>
      <c r="AD106" s="73"/>
      <c r="AE106" s="79" t="s">
        <v>1115</v>
      </c>
      <c r="AF106" s="88" t="s">
        <v>1277</v>
      </c>
      <c r="AG106" s="79">
        <v>1936</v>
      </c>
      <c r="AH106" s="79">
        <v>2326</v>
      </c>
      <c r="AI106" s="79">
        <v>63473</v>
      </c>
      <c r="AJ106" s="79">
        <v>83377</v>
      </c>
      <c r="AK106" s="79"/>
      <c r="AL106" s="79" t="s">
        <v>1437</v>
      </c>
      <c r="AM106" s="79"/>
      <c r="AN106" s="79"/>
      <c r="AO106" s="79"/>
      <c r="AP106" s="81">
        <v>43395.792083333334</v>
      </c>
      <c r="AQ106" s="84" t="str">
        <f>HYPERLINK("https://pbs.twimg.com/profile_banners/1054447446036828160/1541945942")</f>
        <v>https://pbs.twimg.com/profile_banners/1054447446036828160/1541945942</v>
      </c>
      <c r="AR106" s="79" t="b">
        <v>1</v>
      </c>
      <c r="AS106" s="79" t="b">
        <v>0</v>
      </c>
      <c r="AT106" s="79" t="b">
        <v>0</v>
      </c>
      <c r="AU106" s="79"/>
      <c r="AV106" s="79">
        <v>7</v>
      </c>
      <c r="AW106" s="79"/>
      <c r="AX106" s="79" t="b">
        <v>0</v>
      </c>
      <c r="AY106" s="79" t="s">
        <v>1601</v>
      </c>
      <c r="AZ106" s="84" t="str">
        <f>HYPERLINK("https://twitter.com/ale6altrove")</f>
        <v>https://twitter.com/ale6altrove</v>
      </c>
      <c r="BA106" s="79" t="s">
        <v>66</v>
      </c>
      <c r="BB106" s="79" t="str">
        <f>REPLACE(INDEX(GroupVertices[Group],MATCH(Vertices[[#This Row],[Vertex]],GroupVertices[Vertex],0)),1,1,"")</f>
        <v>4</v>
      </c>
      <c r="BC106" s="49" t="s">
        <v>1822</v>
      </c>
      <c r="BD106" s="49" t="s">
        <v>1822</v>
      </c>
      <c r="BE106" s="49" t="s">
        <v>532</v>
      </c>
      <c r="BF106" s="49" t="s">
        <v>532</v>
      </c>
      <c r="BG106" s="49" t="s">
        <v>558</v>
      </c>
      <c r="BH106" s="49" t="s">
        <v>558</v>
      </c>
      <c r="BI106" s="108" t="s">
        <v>2315</v>
      </c>
      <c r="BJ106" s="108" t="s">
        <v>2315</v>
      </c>
      <c r="BK106" s="108" t="s">
        <v>2154</v>
      </c>
      <c r="BL106" s="108" t="s">
        <v>2154</v>
      </c>
      <c r="BM106" s="108">
        <v>1</v>
      </c>
      <c r="BN106" s="111">
        <v>5.555555555555555</v>
      </c>
      <c r="BO106" s="108">
        <v>0</v>
      </c>
      <c r="BP106" s="111">
        <v>0</v>
      </c>
      <c r="BQ106" s="108">
        <v>0</v>
      </c>
      <c r="BR106" s="111">
        <v>0</v>
      </c>
      <c r="BS106" s="108">
        <v>17</v>
      </c>
      <c r="BT106" s="111">
        <v>94.44444444444444</v>
      </c>
      <c r="BU106" s="108">
        <v>18</v>
      </c>
      <c r="BV106" s="2"/>
      <c r="BW106" s="3"/>
      <c r="BX106" s="3"/>
      <c r="BY106" s="3"/>
      <c r="BZ106" s="3"/>
    </row>
    <row r="107" spans="1:78" ht="41.45" customHeight="1">
      <c r="A107" s="65" t="s">
        <v>361</v>
      </c>
      <c r="C107" s="66"/>
      <c r="D107" s="66" t="s">
        <v>64</v>
      </c>
      <c r="E107" s="67">
        <v>162.740139172024</v>
      </c>
      <c r="F107" s="69"/>
      <c r="G107" s="103" t="str">
        <f>HYPERLINK("https://pbs.twimg.com/profile_images/1371467367474200579/0gVpA3fB_normal.jpg")</f>
        <v>https://pbs.twimg.com/profile_images/1371467367474200579/0gVpA3fB_normal.jpg</v>
      </c>
      <c r="H107" s="66"/>
      <c r="I107" s="70" t="s">
        <v>361</v>
      </c>
      <c r="J107" s="71"/>
      <c r="K107" s="71"/>
      <c r="L107" s="70" t="s">
        <v>1705</v>
      </c>
      <c r="M107" s="74">
        <v>1.5662412406151929</v>
      </c>
      <c r="N107" s="75">
        <v>4730.8271484375</v>
      </c>
      <c r="O107" s="75">
        <v>2474.964599609375</v>
      </c>
      <c r="P107" s="76"/>
      <c r="Q107" s="77"/>
      <c r="R107" s="77"/>
      <c r="S107" s="89"/>
      <c r="T107" s="49">
        <v>6</v>
      </c>
      <c r="U107" s="49">
        <v>2</v>
      </c>
      <c r="V107" s="50">
        <v>6.666667</v>
      </c>
      <c r="W107" s="50">
        <v>0.055556</v>
      </c>
      <c r="X107" s="50">
        <v>0</v>
      </c>
      <c r="Y107" s="50">
        <v>1.511875</v>
      </c>
      <c r="Z107" s="50">
        <v>0.2619047619047619</v>
      </c>
      <c r="AA107" s="50">
        <v>0.14285714285714285</v>
      </c>
      <c r="AB107" s="72">
        <v>107</v>
      </c>
      <c r="AC107" s="72"/>
      <c r="AD107" s="73"/>
      <c r="AE107" s="79" t="s">
        <v>1116</v>
      </c>
      <c r="AF107" s="88" t="s">
        <v>1278</v>
      </c>
      <c r="AG107" s="79">
        <v>359</v>
      </c>
      <c r="AH107" s="79">
        <v>1467</v>
      </c>
      <c r="AI107" s="79">
        <v>606</v>
      </c>
      <c r="AJ107" s="79">
        <v>425</v>
      </c>
      <c r="AK107" s="79"/>
      <c r="AL107" s="79" t="s">
        <v>1438</v>
      </c>
      <c r="AM107" s="79" t="s">
        <v>1521</v>
      </c>
      <c r="AN107" s="84" t="str">
        <f>HYPERLINK("https://t.co/CWRfuZgvqB")</f>
        <v>https://t.co/CWRfuZgvqB</v>
      </c>
      <c r="AO107" s="79"/>
      <c r="AP107" s="81">
        <v>43731.35627314815</v>
      </c>
      <c r="AQ107" s="84" t="str">
        <f>HYPERLINK("https://pbs.twimg.com/profile_banners/1176051784000913408/1615826380")</f>
        <v>https://pbs.twimg.com/profile_banners/1176051784000913408/1615826380</v>
      </c>
      <c r="AR107" s="79" t="b">
        <v>1</v>
      </c>
      <c r="AS107" s="79" t="b">
        <v>0</v>
      </c>
      <c r="AT107" s="79" t="b">
        <v>0</v>
      </c>
      <c r="AU107" s="79"/>
      <c r="AV107" s="79">
        <v>30</v>
      </c>
      <c r="AW107" s="79"/>
      <c r="AX107" s="79" t="b">
        <v>0</v>
      </c>
      <c r="AY107" s="79" t="s">
        <v>1601</v>
      </c>
      <c r="AZ107" s="84" t="str">
        <f>HYPERLINK("https://twitter.com/meatech3d")</f>
        <v>https://twitter.com/meatech3d</v>
      </c>
      <c r="BA107" s="79" t="s">
        <v>66</v>
      </c>
      <c r="BB107" s="79" t="str">
        <f>REPLACE(INDEX(GroupVertices[Group],MATCH(Vertices[[#This Row],[Vertex]],GroupVertices[Vertex],0)),1,1,"")</f>
        <v>4</v>
      </c>
      <c r="BC107" s="49" t="s">
        <v>1822</v>
      </c>
      <c r="BD107" s="49" t="s">
        <v>1822</v>
      </c>
      <c r="BE107" s="49" t="s">
        <v>532</v>
      </c>
      <c r="BF107" s="49" t="s">
        <v>532</v>
      </c>
      <c r="BG107" s="49" t="s">
        <v>558</v>
      </c>
      <c r="BH107" s="49" t="s">
        <v>558</v>
      </c>
      <c r="BI107" s="108" t="s">
        <v>2315</v>
      </c>
      <c r="BJ107" s="108" t="s">
        <v>2315</v>
      </c>
      <c r="BK107" s="108" t="s">
        <v>2154</v>
      </c>
      <c r="BL107" s="108" t="s">
        <v>2154</v>
      </c>
      <c r="BM107" s="108">
        <v>1</v>
      </c>
      <c r="BN107" s="111">
        <v>5.555555555555555</v>
      </c>
      <c r="BO107" s="108">
        <v>0</v>
      </c>
      <c r="BP107" s="111">
        <v>0</v>
      </c>
      <c r="BQ107" s="108">
        <v>0</v>
      </c>
      <c r="BR107" s="111">
        <v>0</v>
      </c>
      <c r="BS107" s="108">
        <v>17</v>
      </c>
      <c r="BT107" s="111">
        <v>94.44444444444444</v>
      </c>
      <c r="BU107" s="108">
        <v>18</v>
      </c>
      <c r="BV107" s="2"/>
      <c r="BW107" s="3"/>
      <c r="BX107" s="3"/>
      <c r="BY107" s="3"/>
      <c r="BZ107" s="3"/>
    </row>
    <row r="108" spans="1:78" ht="41.45" customHeight="1">
      <c r="A108" s="65" t="s">
        <v>390</v>
      </c>
      <c r="C108" s="66"/>
      <c r="D108" s="66" t="s">
        <v>64</v>
      </c>
      <c r="E108" s="67">
        <v>1000</v>
      </c>
      <c r="F108" s="69"/>
      <c r="G108" s="103" t="str">
        <f>HYPERLINK("https://pbs.twimg.com/profile_images/1422734984864059405/4KVwkf2e_normal.jpg")</f>
        <v>https://pbs.twimg.com/profile_images/1422734984864059405/4KVwkf2e_normal.jpg</v>
      </c>
      <c r="H108" s="66"/>
      <c r="I108" s="70" t="s">
        <v>390</v>
      </c>
      <c r="J108" s="71"/>
      <c r="K108" s="71"/>
      <c r="L108" s="70" t="s">
        <v>1706</v>
      </c>
      <c r="M108" s="74">
        <v>6648.58570399217</v>
      </c>
      <c r="N108" s="75">
        <v>4481.150390625</v>
      </c>
      <c r="O108" s="75">
        <v>2035.9443359375</v>
      </c>
      <c r="P108" s="76"/>
      <c r="Q108" s="77"/>
      <c r="R108" s="77"/>
      <c r="S108" s="89"/>
      <c r="T108" s="49">
        <v>9</v>
      </c>
      <c r="U108" s="49">
        <v>0</v>
      </c>
      <c r="V108" s="50">
        <v>24.666667</v>
      </c>
      <c r="W108" s="50">
        <v>0.066667</v>
      </c>
      <c r="X108" s="50">
        <v>0</v>
      </c>
      <c r="Y108" s="50">
        <v>1.921389</v>
      </c>
      <c r="Z108" s="50">
        <v>0.20833333333333334</v>
      </c>
      <c r="AA108" s="50">
        <v>0</v>
      </c>
      <c r="AB108" s="72">
        <v>108</v>
      </c>
      <c r="AC108" s="72"/>
      <c r="AD108" s="73"/>
      <c r="AE108" s="79" t="s">
        <v>1117</v>
      </c>
      <c r="AF108" s="88" t="s">
        <v>1279</v>
      </c>
      <c r="AG108" s="79">
        <v>758</v>
      </c>
      <c r="AH108" s="79">
        <v>17222356</v>
      </c>
      <c r="AI108" s="79">
        <v>10555</v>
      </c>
      <c r="AJ108" s="79">
        <v>854</v>
      </c>
      <c r="AK108" s="79"/>
      <c r="AL108" s="79" t="s">
        <v>1439</v>
      </c>
      <c r="AM108" s="79" t="s">
        <v>1504</v>
      </c>
      <c r="AN108" s="84" t="str">
        <f>HYPERLINK("https://t.co/V2CebdSph8")</f>
        <v>https://t.co/V2CebdSph8</v>
      </c>
      <c r="AO108" s="79"/>
      <c r="AP108" s="81">
        <v>39829.31951388889</v>
      </c>
      <c r="AQ108" s="84" t="str">
        <f>HYPERLINK("https://pbs.twimg.com/profile_banners/19058681/1628041429")</f>
        <v>https://pbs.twimg.com/profile_banners/19058681/1628041429</v>
      </c>
      <c r="AR108" s="79" t="b">
        <v>0</v>
      </c>
      <c r="AS108" s="79" t="b">
        <v>0</v>
      </c>
      <c r="AT108" s="79" t="b">
        <v>1</v>
      </c>
      <c r="AU108" s="79"/>
      <c r="AV108" s="79">
        <v>65611</v>
      </c>
      <c r="AW108" s="84" t="str">
        <f>HYPERLINK("https://abs.twimg.com/images/themes/theme1/bg.png")</f>
        <v>https://abs.twimg.com/images/themes/theme1/bg.png</v>
      </c>
      <c r="AX108" s="79" t="b">
        <v>1</v>
      </c>
      <c r="AY108" s="79" t="s">
        <v>1601</v>
      </c>
      <c r="AZ108" s="84" t="str">
        <f>HYPERLINK("https://twitter.com/aplusk")</f>
        <v>https://twitter.com/aplusk</v>
      </c>
      <c r="BA108" s="79" t="s">
        <v>65</v>
      </c>
      <c r="BB108" s="79" t="str">
        <f>REPLACE(INDEX(GroupVertices[Group],MATCH(Vertices[[#This Row],[Vertex]],GroupVertices[Vertex],0)),1,1,"")</f>
        <v>4</v>
      </c>
      <c r="BC108" s="49"/>
      <c r="BD108" s="49"/>
      <c r="BE108" s="49"/>
      <c r="BF108" s="49"/>
      <c r="BG108" s="49"/>
      <c r="BH108" s="49"/>
      <c r="BI108" s="49"/>
      <c r="BJ108" s="49"/>
      <c r="BK108" s="49"/>
      <c r="BL108" s="49"/>
      <c r="BM108" s="49"/>
      <c r="BN108" s="50"/>
      <c r="BO108" s="49"/>
      <c r="BP108" s="50"/>
      <c r="BQ108" s="49"/>
      <c r="BR108" s="50"/>
      <c r="BS108" s="49"/>
      <c r="BT108" s="50"/>
      <c r="BU108" s="49"/>
      <c r="BV108" s="2"/>
      <c r="BW108" s="3"/>
      <c r="BX108" s="3"/>
      <c r="BY108" s="3"/>
      <c r="BZ108" s="3"/>
    </row>
    <row r="109" spans="1:78" ht="41.45" customHeight="1">
      <c r="A109" s="65" t="s">
        <v>362</v>
      </c>
      <c r="C109" s="66"/>
      <c r="D109" s="66" t="s">
        <v>64</v>
      </c>
      <c r="E109" s="67">
        <v>246.0807180881487</v>
      </c>
      <c r="F109" s="69"/>
      <c r="G109" s="103" t="str">
        <f>HYPERLINK("https://pbs.twimg.com/profile_images/1308856211597475840/X7PGunVx_normal.jpg")</f>
        <v>https://pbs.twimg.com/profile_images/1308856211597475840/X7PGunVx_normal.jpg</v>
      </c>
      <c r="H109" s="66"/>
      <c r="I109" s="70" t="s">
        <v>362</v>
      </c>
      <c r="J109" s="71"/>
      <c r="K109" s="71"/>
      <c r="L109" s="70" t="s">
        <v>1707</v>
      </c>
      <c r="M109" s="74">
        <v>65.32569970841429</v>
      </c>
      <c r="N109" s="75">
        <v>4354.658203125</v>
      </c>
      <c r="O109" s="75">
        <v>2539.1025390625</v>
      </c>
      <c r="P109" s="76"/>
      <c r="Q109" s="77"/>
      <c r="R109" s="77"/>
      <c r="S109" s="89"/>
      <c r="T109" s="49">
        <v>10</v>
      </c>
      <c r="U109" s="49">
        <v>2</v>
      </c>
      <c r="V109" s="50">
        <v>64.666667</v>
      </c>
      <c r="W109" s="50">
        <v>0.076923</v>
      </c>
      <c r="X109" s="50">
        <v>0</v>
      </c>
      <c r="Y109" s="50">
        <v>2.413798</v>
      </c>
      <c r="Z109" s="50">
        <v>0.13636363636363635</v>
      </c>
      <c r="AA109" s="50">
        <v>0.09090909090909091</v>
      </c>
      <c r="AB109" s="72">
        <v>109</v>
      </c>
      <c r="AC109" s="72"/>
      <c r="AD109" s="73"/>
      <c r="AE109" s="79" t="s">
        <v>362</v>
      </c>
      <c r="AF109" s="88" t="s">
        <v>1280</v>
      </c>
      <c r="AG109" s="79">
        <v>11519</v>
      </c>
      <c r="AH109" s="79">
        <v>166653</v>
      </c>
      <c r="AI109" s="79">
        <v>23979</v>
      </c>
      <c r="AJ109" s="79">
        <v>3758</v>
      </c>
      <c r="AK109" s="79"/>
      <c r="AL109" s="79" t="s">
        <v>1440</v>
      </c>
      <c r="AM109" s="79"/>
      <c r="AN109" s="84" t="str">
        <f>HYPERLINK("https://t.co/bcPgjoUmtY")</f>
        <v>https://t.co/bcPgjoUmtY</v>
      </c>
      <c r="AO109" s="79"/>
      <c r="AP109" s="81">
        <v>39906.72791666666</v>
      </c>
      <c r="AQ109" s="84" t="str">
        <f>HYPERLINK("https://pbs.twimg.com/profile_banners/28609947/1633105453")</f>
        <v>https://pbs.twimg.com/profile_banners/28609947/1633105453</v>
      </c>
      <c r="AR109" s="79" t="b">
        <v>0</v>
      </c>
      <c r="AS109" s="79" t="b">
        <v>0</v>
      </c>
      <c r="AT109" s="79" t="b">
        <v>0</v>
      </c>
      <c r="AU109" s="79"/>
      <c r="AV109" s="79">
        <v>2911</v>
      </c>
      <c r="AW109" s="84" t="str">
        <f>HYPERLINK("https://abs.twimg.com/images/themes/theme2/bg.gif")</f>
        <v>https://abs.twimg.com/images/themes/theme2/bg.gif</v>
      </c>
      <c r="AX109" s="79" t="b">
        <v>0</v>
      </c>
      <c r="AY109" s="79" t="s">
        <v>1601</v>
      </c>
      <c r="AZ109" s="84" t="str">
        <f>HYPERLINK("https://twitter.com/vegnews")</f>
        <v>https://twitter.com/vegnews</v>
      </c>
      <c r="BA109" s="79" t="s">
        <v>66</v>
      </c>
      <c r="BB109" s="79" t="str">
        <f>REPLACE(INDEX(GroupVertices[Group],MATCH(Vertices[[#This Row],[Vertex]],GroupVertices[Vertex],0)),1,1,"")</f>
        <v>4</v>
      </c>
      <c r="BC109" s="49" t="s">
        <v>1822</v>
      </c>
      <c r="BD109" s="49" t="s">
        <v>1822</v>
      </c>
      <c r="BE109" s="49" t="s">
        <v>532</v>
      </c>
      <c r="BF109" s="49" t="s">
        <v>532</v>
      </c>
      <c r="BG109" s="49" t="s">
        <v>2270</v>
      </c>
      <c r="BH109" s="49" t="s">
        <v>2270</v>
      </c>
      <c r="BI109" s="108" t="s">
        <v>2316</v>
      </c>
      <c r="BJ109" s="108" t="s">
        <v>2345</v>
      </c>
      <c r="BK109" s="108" t="s">
        <v>2385</v>
      </c>
      <c r="BL109" s="108" t="s">
        <v>2385</v>
      </c>
      <c r="BM109" s="108">
        <v>1</v>
      </c>
      <c r="BN109" s="111">
        <v>2.5</v>
      </c>
      <c r="BO109" s="108">
        <v>0</v>
      </c>
      <c r="BP109" s="111">
        <v>0</v>
      </c>
      <c r="BQ109" s="108">
        <v>0</v>
      </c>
      <c r="BR109" s="111">
        <v>0</v>
      </c>
      <c r="BS109" s="108">
        <v>39</v>
      </c>
      <c r="BT109" s="111">
        <v>97.5</v>
      </c>
      <c r="BU109" s="108">
        <v>40</v>
      </c>
      <c r="BV109" s="2"/>
      <c r="BW109" s="3"/>
      <c r="BX109" s="3"/>
      <c r="BY109" s="3"/>
      <c r="BZ109" s="3"/>
    </row>
    <row r="110" spans="1:78" ht="41.45" customHeight="1">
      <c r="A110" s="65" t="s">
        <v>305</v>
      </c>
      <c r="C110" s="66"/>
      <c r="D110" s="66" t="s">
        <v>64</v>
      </c>
      <c r="E110" s="67">
        <v>162.57869095454092</v>
      </c>
      <c r="F110" s="69"/>
      <c r="G110" s="103" t="str">
        <f>HYPERLINK("https://pbs.twimg.com/profile_images/1310579955814862850/zkg07N2g_normal.jpg")</f>
        <v>https://pbs.twimg.com/profile_images/1310579955814862850/zkg07N2g_normal.jpg</v>
      </c>
      <c r="H110" s="66"/>
      <c r="I110" s="70" t="s">
        <v>305</v>
      </c>
      <c r="J110" s="71"/>
      <c r="K110" s="71"/>
      <c r="L110" s="70" t="s">
        <v>1708</v>
      </c>
      <c r="M110" s="74">
        <v>1.4427257689063575</v>
      </c>
      <c r="N110" s="75">
        <v>4483.35205078125</v>
      </c>
      <c r="O110" s="75">
        <v>3527.608642578125</v>
      </c>
      <c r="P110" s="76"/>
      <c r="Q110" s="77"/>
      <c r="R110" s="77"/>
      <c r="S110" s="89"/>
      <c r="T110" s="49">
        <v>0</v>
      </c>
      <c r="U110" s="49">
        <v>3</v>
      </c>
      <c r="V110" s="50">
        <v>0</v>
      </c>
      <c r="W110" s="50">
        <v>0.045455</v>
      </c>
      <c r="X110" s="50">
        <v>0</v>
      </c>
      <c r="Y110" s="50">
        <v>0.70157</v>
      </c>
      <c r="Z110" s="50">
        <v>0.6666666666666666</v>
      </c>
      <c r="AA110" s="50">
        <v>0</v>
      </c>
      <c r="AB110" s="72">
        <v>110</v>
      </c>
      <c r="AC110" s="72"/>
      <c r="AD110" s="73"/>
      <c r="AE110" s="79" t="s">
        <v>1118</v>
      </c>
      <c r="AF110" s="88" t="s">
        <v>1281</v>
      </c>
      <c r="AG110" s="79">
        <v>1253</v>
      </c>
      <c r="AH110" s="79">
        <v>1147</v>
      </c>
      <c r="AI110" s="79">
        <v>53598</v>
      </c>
      <c r="AJ110" s="79">
        <v>13992</v>
      </c>
      <c r="AK110" s="79"/>
      <c r="AL110" s="79" t="s">
        <v>1441</v>
      </c>
      <c r="AM110" s="79" t="s">
        <v>1523</v>
      </c>
      <c r="AN110" s="79"/>
      <c r="AO110" s="79"/>
      <c r="AP110" s="81">
        <v>44095.49630787037</v>
      </c>
      <c r="AQ110" s="84" t="str">
        <f>HYPERLINK("https://pbs.twimg.com/profile_banners/1308011680652197888/1601284550")</f>
        <v>https://pbs.twimg.com/profile_banners/1308011680652197888/1601284550</v>
      </c>
      <c r="AR110" s="79" t="b">
        <v>1</v>
      </c>
      <c r="AS110" s="79" t="b">
        <v>0</v>
      </c>
      <c r="AT110" s="79" t="b">
        <v>0</v>
      </c>
      <c r="AU110" s="79"/>
      <c r="AV110" s="79">
        <v>3</v>
      </c>
      <c r="AW110" s="79"/>
      <c r="AX110" s="79" t="b">
        <v>0</v>
      </c>
      <c r="AY110" s="79" t="s">
        <v>1601</v>
      </c>
      <c r="AZ110" s="84" t="str">
        <f>HYPERLINK("https://twitter.com/pepe_nature")</f>
        <v>https://twitter.com/pepe_nature</v>
      </c>
      <c r="BA110" s="79" t="s">
        <v>66</v>
      </c>
      <c r="BB110" s="79" t="str">
        <f>REPLACE(INDEX(GroupVertices[Group],MATCH(Vertices[[#This Row],[Vertex]],GroupVertices[Vertex],0)),1,1,"")</f>
        <v>4</v>
      </c>
      <c r="BC110" s="49" t="s">
        <v>1822</v>
      </c>
      <c r="BD110" s="49" t="s">
        <v>1822</v>
      </c>
      <c r="BE110" s="49" t="s">
        <v>532</v>
      </c>
      <c r="BF110" s="49" t="s">
        <v>532</v>
      </c>
      <c r="BG110" s="49" t="s">
        <v>558</v>
      </c>
      <c r="BH110" s="49" t="s">
        <v>558</v>
      </c>
      <c r="BI110" s="108" t="s">
        <v>2315</v>
      </c>
      <c r="BJ110" s="108" t="s">
        <v>2315</v>
      </c>
      <c r="BK110" s="108" t="s">
        <v>2154</v>
      </c>
      <c r="BL110" s="108" t="s">
        <v>2154</v>
      </c>
      <c r="BM110" s="108">
        <v>1</v>
      </c>
      <c r="BN110" s="111">
        <v>5.555555555555555</v>
      </c>
      <c r="BO110" s="108">
        <v>0</v>
      </c>
      <c r="BP110" s="111">
        <v>0</v>
      </c>
      <c r="BQ110" s="108">
        <v>0</v>
      </c>
      <c r="BR110" s="111">
        <v>0</v>
      </c>
      <c r="BS110" s="108">
        <v>17</v>
      </c>
      <c r="BT110" s="111">
        <v>94.44444444444444</v>
      </c>
      <c r="BU110" s="108">
        <v>18</v>
      </c>
      <c r="BV110" s="2"/>
      <c r="BW110" s="3"/>
      <c r="BX110" s="3"/>
      <c r="BY110" s="3"/>
      <c r="BZ110" s="3"/>
    </row>
    <row r="111" spans="1:78" ht="41.45" customHeight="1">
      <c r="A111" s="65" t="s">
        <v>306</v>
      </c>
      <c r="C111" s="66"/>
      <c r="D111" s="66" t="s">
        <v>64</v>
      </c>
      <c r="E111" s="67">
        <v>162.57768190318166</v>
      </c>
      <c r="F111" s="69"/>
      <c r="G111" s="103" t="str">
        <f>HYPERLINK("https://pbs.twimg.com/profile_images/1134927635258195969/Nq76xWb4_normal.png")</f>
        <v>https://pbs.twimg.com/profile_images/1134927635258195969/Nq76xWb4_normal.png</v>
      </c>
      <c r="H111" s="66"/>
      <c r="I111" s="70" t="s">
        <v>306</v>
      </c>
      <c r="J111" s="71"/>
      <c r="K111" s="71"/>
      <c r="L111" s="70" t="s">
        <v>1709</v>
      </c>
      <c r="M111" s="74">
        <v>1.4419537972081773</v>
      </c>
      <c r="N111" s="75">
        <v>1145.9404296875</v>
      </c>
      <c r="O111" s="75">
        <v>6082.240234375</v>
      </c>
      <c r="P111" s="76"/>
      <c r="Q111" s="77"/>
      <c r="R111" s="77"/>
      <c r="S111" s="89"/>
      <c r="T111" s="49">
        <v>0</v>
      </c>
      <c r="U111" s="49">
        <v>4</v>
      </c>
      <c r="V111" s="50">
        <v>0.0625</v>
      </c>
      <c r="W111" s="50">
        <v>0.006135</v>
      </c>
      <c r="X111" s="50">
        <v>0.01952</v>
      </c>
      <c r="Y111" s="50">
        <v>0.622335</v>
      </c>
      <c r="Z111" s="50">
        <v>0.4166666666666667</v>
      </c>
      <c r="AA111" s="50">
        <v>0</v>
      </c>
      <c r="AB111" s="72">
        <v>111</v>
      </c>
      <c r="AC111" s="72"/>
      <c r="AD111" s="73"/>
      <c r="AE111" s="79" t="s">
        <v>1119</v>
      </c>
      <c r="AF111" s="88" t="s">
        <v>1282</v>
      </c>
      <c r="AG111" s="79">
        <v>1982</v>
      </c>
      <c r="AH111" s="79">
        <v>1145</v>
      </c>
      <c r="AI111" s="79">
        <v>103274</v>
      </c>
      <c r="AJ111" s="79">
        <v>76213</v>
      </c>
      <c r="AK111" s="79"/>
      <c r="AL111" s="79" t="s">
        <v>1442</v>
      </c>
      <c r="AM111" s="79" t="s">
        <v>1565</v>
      </c>
      <c r="AN111" s="84" t="str">
        <f>HYPERLINK("https://t.co/FijbUtIA4y")</f>
        <v>https://t.co/FijbUtIA4y</v>
      </c>
      <c r="AO111" s="79"/>
      <c r="AP111" s="81">
        <v>40796.74180555555</v>
      </c>
      <c r="AQ111" s="84" t="str">
        <f>HYPERLINK("https://pbs.twimg.com/profile_banners/371352104/1485106789")</f>
        <v>https://pbs.twimg.com/profile_banners/371352104/1485106789</v>
      </c>
      <c r="AR111" s="79" t="b">
        <v>0</v>
      </c>
      <c r="AS111" s="79" t="b">
        <v>0</v>
      </c>
      <c r="AT111" s="79" t="b">
        <v>0</v>
      </c>
      <c r="AU111" s="79"/>
      <c r="AV111" s="79">
        <v>174</v>
      </c>
      <c r="AW111" s="84" t="str">
        <f>HYPERLINK("https://abs.twimg.com/images/themes/theme4/bg.gif")</f>
        <v>https://abs.twimg.com/images/themes/theme4/bg.gif</v>
      </c>
      <c r="AX111" s="79" t="b">
        <v>0</v>
      </c>
      <c r="AY111" s="79" t="s">
        <v>1601</v>
      </c>
      <c r="AZ111" s="84" t="str">
        <f>HYPERLINK("https://twitter.com/sdelagrave")</f>
        <v>https://twitter.com/sdelagrave</v>
      </c>
      <c r="BA111" s="79" t="s">
        <v>66</v>
      </c>
      <c r="BB111" s="79" t="str">
        <f>REPLACE(INDEX(GroupVertices[Group],MATCH(Vertices[[#This Row],[Vertex]],GroupVertices[Vertex],0)),1,1,"")</f>
        <v>1</v>
      </c>
      <c r="BC111" s="49" t="s">
        <v>1826</v>
      </c>
      <c r="BD111" s="49" t="s">
        <v>1826</v>
      </c>
      <c r="BE111" s="49" t="s">
        <v>535</v>
      </c>
      <c r="BF111" s="49" t="s">
        <v>535</v>
      </c>
      <c r="BG111" s="49"/>
      <c r="BH111" s="49"/>
      <c r="BI111" s="108" t="s">
        <v>2295</v>
      </c>
      <c r="BJ111" s="108" t="s">
        <v>2295</v>
      </c>
      <c r="BK111" s="108" t="s">
        <v>2151</v>
      </c>
      <c r="BL111" s="108" t="s">
        <v>2151</v>
      </c>
      <c r="BM111" s="108">
        <v>0</v>
      </c>
      <c r="BN111" s="111">
        <v>0</v>
      </c>
      <c r="BO111" s="108">
        <v>0</v>
      </c>
      <c r="BP111" s="111">
        <v>0</v>
      </c>
      <c r="BQ111" s="108">
        <v>0</v>
      </c>
      <c r="BR111" s="111">
        <v>0</v>
      </c>
      <c r="BS111" s="108">
        <v>34</v>
      </c>
      <c r="BT111" s="111">
        <v>100</v>
      </c>
      <c r="BU111" s="108">
        <v>34</v>
      </c>
      <c r="BV111" s="2"/>
      <c r="BW111" s="3"/>
      <c r="BX111" s="3"/>
      <c r="BY111" s="3"/>
      <c r="BZ111" s="3"/>
    </row>
    <row r="112" spans="1:78" ht="41.45" customHeight="1">
      <c r="A112" s="65" t="s">
        <v>341</v>
      </c>
      <c r="C112" s="66"/>
      <c r="D112" s="66" t="s">
        <v>64</v>
      </c>
      <c r="E112" s="67">
        <v>185.443794755582</v>
      </c>
      <c r="F112" s="69"/>
      <c r="G112" s="103" t="str">
        <f>HYPERLINK("https://pbs.twimg.com/profile_images/879700936704315392/WxI5eCW5_normal.jpg")</f>
        <v>https://pbs.twimg.com/profile_images/879700936704315392/WxI5eCW5_normal.jpg</v>
      </c>
      <c r="H112" s="66"/>
      <c r="I112" s="70" t="s">
        <v>341</v>
      </c>
      <c r="J112" s="71"/>
      <c r="K112" s="71"/>
      <c r="L112" s="70" t="s">
        <v>1710</v>
      </c>
      <c r="M112" s="74">
        <v>18.935604449670194</v>
      </c>
      <c r="N112" s="75">
        <v>1578.590087890625</v>
      </c>
      <c r="O112" s="75">
        <v>5877.259765625</v>
      </c>
      <c r="P112" s="76"/>
      <c r="Q112" s="77"/>
      <c r="R112" s="77"/>
      <c r="S112" s="89"/>
      <c r="T112" s="49">
        <v>2</v>
      </c>
      <c r="U112" s="49">
        <v>4</v>
      </c>
      <c r="V112" s="50">
        <v>112.5625</v>
      </c>
      <c r="W112" s="50">
        <v>0.006211</v>
      </c>
      <c r="X112" s="50">
        <v>0.021872</v>
      </c>
      <c r="Y112" s="50">
        <v>0.980409</v>
      </c>
      <c r="Z112" s="50">
        <v>0.26666666666666666</v>
      </c>
      <c r="AA112" s="50">
        <v>0</v>
      </c>
      <c r="AB112" s="72">
        <v>112</v>
      </c>
      <c r="AC112" s="72"/>
      <c r="AD112" s="73"/>
      <c r="AE112" s="79" t="s">
        <v>1120</v>
      </c>
      <c r="AF112" s="88" t="s">
        <v>1283</v>
      </c>
      <c r="AG112" s="79">
        <v>189</v>
      </c>
      <c r="AH112" s="79">
        <v>46467</v>
      </c>
      <c r="AI112" s="79">
        <v>21051</v>
      </c>
      <c r="AJ112" s="79">
        <v>674</v>
      </c>
      <c r="AK112" s="79"/>
      <c r="AL112" s="79" t="s">
        <v>1443</v>
      </c>
      <c r="AM112" s="79" t="s">
        <v>1517</v>
      </c>
      <c r="AN112" s="84" t="str">
        <f>HYPERLINK("https://t.co/BhS9est1LR")</f>
        <v>https://t.co/BhS9est1LR</v>
      </c>
      <c r="AO112" s="79"/>
      <c r="AP112" s="81">
        <v>42231.42711805556</v>
      </c>
      <c r="AQ112" s="84" t="str">
        <f>HYPERLINK("https://pbs.twimg.com/profile_banners/3423735975/1632323274")</f>
        <v>https://pbs.twimg.com/profile_banners/3423735975/1632323274</v>
      </c>
      <c r="AR112" s="79" t="b">
        <v>0</v>
      </c>
      <c r="AS112" s="79" t="b">
        <v>0</v>
      </c>
      <c r="AT112" s="79" t="b">
        <v>0</v>
      </c>
      <c r="AU112" s="79"/>
      <c r="AV112" s="79">
        <v>311</v>
      </c>
      <c r="AW112" s="84" t="str">
        <f>HYPERLINK("https://abs.twimg.com/images/themes/theme1/bg.png")</f>
        <v>https://abs.twimg.com/images/themes/theme1/bg.png</v>
      </c>
      <c r="AX112" s="79" t="b">
        <v>0</v>
      </c>
      <c r="AY112" s="79" t="s">
        <v>1601</v>
      </c>
      <c r="AZ112" s="84" t="str">
        <f>HYPERLINK("https://twitter.com/economistpods")</f>
        <v>https://twitter.com/economistpods</v>
      </c>
      <c r="BA112" s="79" t="s">
        <v>66</v>
      </c>
      <c r="BB112" s="79" t="str">
        <f>REPLACE(INDEX(GroupVertices[Group],MATCH(Vertices[[#This Row],[Vertex]],GroupVertices[Vertex],0)),1,1,"")</f>
        <v>1</v>
      </c>
      <c r="BC112" s="49" t="s">
        <v>1826</v>
      </c>
      <c r="BD112" s="49" t="s">
        <v>1826</v>
      </c>
      <c r="BE112" s="49" t="s">
        <v>535</v>
      </c>
      <c r="BF112" s="49" t="s">
        <v>535</v>
      </c>
      <c r="BG112" s="49"/>
      <c r="BH112" s="49"/>
      <c r="BI112" s="108" t="s">
        <v>2295</v>
      </c>
      <c r="BJ112" s="108" t="s">
        <v>2346</v>
      </c>
      <c r="BK112" s="108" t="s">
        <v>2151</v>
      </c>
      <c r="BL112" s="108" t="s">
        <v>2412</v>
      </c>
      <c r="BM112" s="108">
        <v>0</v>
      </c>
      <c r="BN112" s="111">
        <v>0</v>
      </c>
      <c r="BO112" s="108">
        <v>0</v>
      </c>
      <c r="BP112" s="111">
        <v>0</v>
      </c>
      <c r="BQ112" s="108">
        <v>0</v>
      </c>
      <c r="BR112" s="111">
        <v>0</v>
      </c>
      <c r="BS112" s="108">
        <v>238</v>
      </c>
      <c r="BT112" s="111">
        <v>100</v>
      </c>
      <c r="BU112" s="108">
        <v>238</v>
      </c>
      <c r="BV112" s="2"/>
      <c r="BW112" s="3"/>
      <c r="BX112" s="3"/>
      <c r="BY112" s="3"/>
      <c r="BZ112" s="3"/>
    </row>
    <row r="113" spans="1:78" ht="41.45" customHeight="1">
      <c r="A113" s="65" t="s">
        <v>391</v>
      </c>
      <c r="C113" s="66"/>
      <c r="D113" s="66" t="s">
        <v>64</v>
      </c>
      <c r="E113" s="67">
        <v>174.7786264137857</v>
      </c>
      <c r="F113" s="69"/>
      <c r="G113" s="103" t="str">
        <f>HYPERLINK("https://pbs.twimg.com/profile_images/984936528693477376/FSAskRDM_normal.jpg")</f>
        <v>https://pbs.twimg.com/profile_images/984936528693477376/FSAskRDM_normal.jpg</v>
      </c>
      <c r="H113" s="66"/>
      <c r="I113" s="70" t="s">
        <v>391</v>
      </c>
      <c r="J113" s="71"/>
      <c r="K113" s="71"/>
      <c r="L113" s="70" t="s">
        <v>1711</v>
      </c>
      <c r="M113" s="74">
        <v>10.776249585754336</v>
      </c>
      <c r="N113" s="75">
        <v>5390.76513671875</v>
      </c>
      <c r="O113" s="75">
        <v>6411.06982421875</v>
      </c>
      <c r="P113" s="76"/>
      <c r="Q113" s="77"/>
      <c r="R113" s="77"/>
      <c r="S113" s="89"/>
      <c r="T113" s="49">
        <v>1</v>
      </c>
      <c r="U113" s="49">
        <v>0</v>
      </c>
      <c r="V113" s="50">
        <v>0</v>
      </c>
      <c r="W113" s="50">
        <v>0.111111</v>
      </c>
      <c r="X113" s="50">
        <v>0</v>
      </c>
      <c r="Y113" s="50">
        <v>0.556795</v>
      </c>
      <c r="Z113" s="50">
        <v>0</v>
      </c>
      <c r="AA113" s="50">
        <v>0</v>
      </c>
      <c r="AB113" s="72">
        <v>113</v>
      </c>
      <c r="AC113" s="72"/>
      <c r="AD113" s="73"/>
      <c r="AE113" s="79" t="s">
        <v>1121</v>
      </c>
      <c r="AF113" s="88" t="s">
        <v>1284</v>
      </c>
      <c r="AG113" s="79">
        <v>2651</v>
      </c>
      <c r="AH113" s="79">
        <v>25328</v>
      </c>
      <c r="AI113" s="79">
        <v>13671</v>
      </c>
      <c r="AJ113" s="79">
        <v>29641</v>
      </c>
      <c r="AK113" s="79"/>
      <c r="AL113" s="79" t="s">
        <v>1444</v>
      </c>
      <c r="AM113" s="79" t="s">
        <v>1566</v>
      </c>
      <c r="AN113" s="84" t="str">
        <f>HYPERLINK("https://t.co/MBzbAWnBjd")</f>
        <v>https://t.co/MBzbAWnBjd</v>
      </c>
      <c r="AO113" s="79"/>
      <c r="AP113" s="81">
        <v>40156.81765046297</v>
      </c>
      <c r="AQ113" s="84" t="str">
        <f>HYPERLINK("https://pbs.twimg.com/profile_banners/95715569/1523919387")</f>
        <v>https://pbs.twimg.com/profile_banners/95715569/1523919387</v>
      </c>
      <c r="AR113" s="79" t="b">
        <v>0</v>
      </c>
      <c r="AS113" s="79" t="b">
        <v>0</v>
      </c>
      <c r="AT113" s="79" t="b">
        <v>1</v>
      </c>
      <c r="AU113" s="79"/>
      <c r="AV113" s="79">
        <v>280</v>
      </c>
      <c r="AW113" s="84" t="str">
        <f>HYPERLINK("https://abs.twimg.com/images/themes/theme1/bg.png")</f>
        <v>https://abs.twimg.com/images/themes/theme1/bg.png</v>
      </c>
      <c r="AX113" s="79" t="b">
        <v>0</v>
      </c>
      <c r="AY113" s="79" t="s">
        <v>1601</v>
      </c>
      <c r="AZ113" s="84" t="str">
        <f>HYPERLINK("https://twitter.com/ghgguru")</f>
        <v>https://twitter.com/ghgguru</v>
      </c>
      <c r="BA113" s="79" t="s">
        <v>65</v>
      </c>
      <c r="BB113" s="79" t="str">
        <f>REPLACE(INDEX(GroupVertices[Group],MATCH(Vertices[[#This Row],[Vertex]],GroupVertices[Vertex],0)),1,1,"")</f>
        <v>8</v>
      </c>
      <c r="BC113" s="49"/>
      <c r="BD113" s="49"/>
      <c r="BE113" s="49"/>
      <c r="BF113" s="49"/>
      <c r="BG113" s="49"/>
      <c r="BH113" s="49"/>
      <c r="BI113" s="49"/>
      <c r="BJ113" s="49"/>
      <c r="BK113" s="49"/>
      <c r="BL113" s="49"/>
      <c r="BM113" s="49"/>
      <c r="BN113" s="50"/>
      <c r="BO113" s="49"/>
      <c r="BP113" s="50"/>
      <c r="BQ113" s="49"/>
      <c r="BR113" s="50"/>
      <c r="BS113" s="49"/>
      <c r="BT113" s="50"/>
      <c r="BU113" s="49"/>
      <c r="BV113" s="2"/>
      <c r="BW113" s="3"/>
      <c r="BX113" s="3"/>
      <c r="BY113" s="3"/>
      <c r="BZ113" s="3"/>
    </row>
    <row r="114" spans="1:78" ht="41.45" customHeight="1">
      <c r="A114" s="65" t="s">
        <v>392</v>
      </c>
      <c r="C114" s="66"/>
      <c r="D114" s="66" t="s">
        <v>64</v>
      </c>
      <c r="E114" s="67">
        <v>162.05045256796348</v>
      </c>
      <c r="F114" s="69"/>
      <c r="G114" s="103" t="str">
        <f>HYPERLINK("https://pbs.twimg.com/profile_images/1365779656851488769/AVixs_iI_normal.jpg")</f>
        <v>https://pbs.twimg.com/profile_images/1365779656851488769/AVixs_iI_normal.jpg</v>
      </c>
      <c r="H114" s="66"/>
      <c r="I114" s="70" t="s">
        <v>392</v>
      </c>
      <c r="J114" s="71"/>
      <c r="K114" s="71"/>
      <c r="L114" s="70" t="s">
        <v>1712</v>
      </c>
      <c r="M114" s="74">
        <v>1.0385985849090111</v>
      </c>
      <c r="N114" s="75">
        <v>5694.01123046875</v>
      </c>
      <c r="O114" s="75">
        <v>5156.55224609375</v>
      </c>
      <c r="P114" s="76"/>
      <c r="Q114" s="77"/>
      <c r="R114" s="77"/>
      <c r="S114" s="89"/>
      <c r="T114" s="49">
        <v>1</v>
      </c>
      <c r="U114" s="49">
        <v>0</v>
      </c>
      <c r="V114" s="50">
        <v>0</v>
      </c>
      <c r="W114" s="50">
        <v>0.111111</v>
      </c>
      <c r="X114" s="50">
        <v>0</v>
      </c>
      <c r="Y114" s="50">
        <v>0.556795</v>
      </c>
      <c r="Z114" s="50">
        <v>0</v>
      </c>
      <c r="AA114" s="50">
        <v>0</v>
      </c>
      <c r="AB114" s="72">
        <v>114</v>
      </c>
      <c r="AC114" s="72"/>
      <c r="AD114" s="73"/>
      <c r="AE114" s="79" t="s">
        <v>1122</v>
      </c>
      <c r="AF114" s="88" t="s">
        <v>1285</v>
      </c>
      <c r="AG114" s="79">
        <v>90</v>
      </c>
      <c r="AH114" s="79">
        <v>100</v>
      </c>
      <c r="AI114" s="79">
        <v>1246</v>
      </c>
      <c r="AJ114" s="79">
        <v>586</v>
      </c>
      <c r="AK114" s="79"/>
      <c r="AL114" s="79" t="s">
        <v>1445</v>
      </c>
      <c r="AM114" s="79"/>
      <c r="AN114" s="79"/>
      <c r="AO114" s="79"/>
      <c r="AP114" s="81">
        <v>41436.394895833335</v>
      </c>
      <c r="AQ114" s="84" t="str">
        <f>HYPERLINK("https://pbs.twimg.com/profile_banners/1500996516/1397632119")</f>
        <v>https://pbs.twimg.com/profile_banners/1500996516/1397632119</v>
      </c>
      <c r="AR114" s="79" t="b">
        <v>1</v>
      </c>
      <c r="AS114" s="79" t="b">
        <v>0</v>
      </c>
      <c r="AT114" s="79" t="b">
        <v>0</v>
      </c>
      <c r="AU114" s="79"/>
      <c r="AV114" s="79">
        <v>0</v>
      </c>
      <c r="AW114" s="84" t="str">
        <f>HYPERLINK("https://abs.twimg.com/images/themes/theme1/bg.png")</f>
        <v>https://abs.twimg.com/images/themes/theme1/bg.png</v>
      </c>
      <c r="AX114" s="79" t="b">
        <v>0</v>
      </c>
      <c r="AY114" s="79" t="s">
        <v>1601</v>
      </c>
      <c r="AZ114" s="84" t="str">
        <f>HYPERLINK("https://twitter.com/david_griso")</f>
        <v>https://twitter.com/david_griso</v>
      </c>
      <c r="BA114" s="79" t="s">
        <v>65</v>
      </c>
      <c r="BB114" s="79" t="str">
        <f>REPLACE(INDEX(GroupVertices[Group],MATCH(Vertices[[#This Row],[Vertex]],GroupVertices[Vertex],0)),1,1,"")</f>
        <v>8</v>
      </c>
      <c r="BC114" s="49"/>
      <c r="BD114" s="49"/>
      <c r="BE114" s="49"/>
      <c r="BF114" s="49"/>
      <c r="BG114" s="49"/>
      <c r="BH114" s="49"/>
      <c r="BI114" s="49"/>
      <c r="BJ114" s="49"/>
      <c r="BK114" s="49"/>
      <c r="BL114" s="49"/>
      <c r="BM114" s="49"/>
      <c r="BN114" s="50"/>
      <c r="BO114" s="49"/>
      <c r="BP114" s="50"/>
      <c r="BQ114" s="49"/>
      <c r="BR114" s="50"/>
      <c r="BS114" s="49"/>
      <c r="BT114" s="50"/>
      <c r="BU114" s="49"/>
      <c r="BV114" s="2"/>
      <c r="BW114" s="3"/>
      <c r="BX114" s="3"/>
      <c r="BY114" s="3"/>
      <c r="BZ114" s="3"/>
    </row>
    <row r="115" spans="1:78" ht="41.45" customHeight="1">
      <c r="A115" s="65" t="s">
        <v>393</v>
      </c>
      <c r="C115" s="66"/>
      <c r="D115" s="66" t="s">
        <v>64</v>
      </c>
      <c r="E115" s="67">
        <v>162.06760644107104</v>
      </c>
      <c r="F115" s="69"/>
      <c r="G115" s="103" t="str">
        <f>HYPERLINK("https://pbs.twimg.com/profile_images/1383635859610619912/yc4_DiQ5_normal.jpg")</f>
        <v>https://pbs.twimg.com/profile_images/1383635859610619912/yc4_DiQ5_normal.jpg</v>
      </c>
      <c r="H115" s="66"/>
      <c r="I115" s="70" t="s">
        <v>393</v>
      </c>
      <c r="J115" s="71"/>
      <c r="K115" s="71"/>
      <c r="L115" s="70" t="s">
        <v>1713</v>
      </c>
      <c r="M115" s="74">
        <v>1.0517221037780748</v>
      </c>
      <c r="N115" s="75">
        <v>5911.18115234375</v>
      </c>
      <c r="O115" s="75">
        <v>6176.1669921875</v>
      </c>
      <c r="P115" s="76"/>
      <c r="Q115" s="77"/>
      <c r="R115" s="77"/>
      <c r="S115" s="89"/>
      <c r="T115" s="49">
        <v>1</v>
      </c>
      <c r="U115" s="49">
        <v>0</v>
      </c>
      <c r="V115" s="50">
        <v>0</v>
      </c>
      <c r="W115" s="50">
        <v>0.111111</v>
      </c>
      <c r="X115" s="50">
        <v>0</v>
      </c>
      <c r="Y115" s="50">
        <v>0.556795</v>
      </c>
      <c r="Z115" s="50">
        <v>0</v>
      </c>
      <c r="AA115" s="50">
        <v>0</v>
      </c>
      <c r="AB115" s="72">
        <v>115</v>
      </c>
      <c r="AC115" s="72"/>
      <c r="AD115" s="73"/>
      <c r="AE115" s="79" t="s">
        <v>1123</v>
      </c>
      <c r="AF115" s="88" t="s">
        <v>959</v>
      </c>
      <c r="AG115" s="79">
        <v>731</v>
      </c>
      <c r="AH115" s="79">
        <v>134</v>
      </c>
      <c r="AI115" s="79">
        <v>439</v>
      </c>
      <c r="AJ115" s="79">
        <v>1639</v>
      </c>
      <c r="AK115" s="79"/>
      <c r="AL115" s="79"/>
      <c r="AM115" s="79"/>
      <c r="AN115" s="79"/>
      <c r="AO115" s="79"/>
      <c r="AP115" s="81">
        <v>44304.17802083334</v>
      </c>
      <c r="AQ115" s="79"/>
      <c r="AR115" s="79" t="b">
        <v>1</v>
      </c>
      <c r="AS115" s="79" t="b">
        <v>0</v>
      </c>
      <c r="AT115" s="79" t="b">
        <v>0</v>
      </c>
      <c r="AU115" s="79"/>
      <c r="AV115" s="79">
        <v>0</v>
      </c>
      <c r="AW115" s="79"/>
      <c r="AX115" s="79" t="b">
        <v>0</v>
      </c>
      <c r="AY115" s="79" t="s">
        <v>1601</v>
      </c>
      <c r="AZ115" s="84" t="str">
        <f>HYPERLINK("https://twitter.com/berkeleyrabe")</f>
        <v>https://twitter.com/berkeleyrabe</v>
      </c>
      <c r="BA115" s="79" t="s">
        <v>65</v>
      </c>
      <c r="BB115" s="79" t="str">
        <f>REPLACE(INDEX(GroupVertices[Group],MATCH(Vertices[[#This Row],[Vertex]],GroupVertices[Vertex],0)),1,1,"")</f>
        <v>8</v>
      </c>
      <c r="BC115" s="49"/>
      <c r="BD115" s="49"/>
      <c r="BE115" s="49"/>
      <c r="BF115" s="49"/>
      <c r="BG115" s="49"/>
      <c r="BH115" s="49"/>
      <c r="BI115" s="49"/>
      <c r="BJ115" s="49"/>
      <c r="BK115" s="49"/>
      <c r="BL115" s="49"/>
      <c r="BM115" s="49"/>
      <c r="BN115" s="50"/>
      <c r="BO115" s="49"/>
      <c r="BP115" s="50"/>
      <c r="BQ115" s="49"/>
      <c r="BR115" s="50"/>
      <c r="BS115" s="49"/>
      <c r="BT115" s="50"/>
      <c r="BU115" s="49"/>
      <c r="BV115" s="2"/>
      <c r="BW115" s="3"/>
      <c r="BX115" s="3"/>
      <c r="BY115" s="3"/>
      <c r="BZ115" s="3"/>
    </row>
    <row r="116" spans="1:78" ht="41.45" customHeight="1">
      <c r="A116" s="65" t="s">
        <v>308</v>
      </c>
      <c r="C116" s="66"/>
      <c r="D116" s="66" t="s">
        <v>64</v>
      </c>
      <c r="E116" s="67">
        <v>162.46567720230274</v>
      </c>
      <c r="F116" s="69"/>
      <c r="G116" s="103" t="str">
        <f>HYPERLINK("https://pbs.twimg.com/profile_images/523095595616329728/_pnP48fE_normal.jpeg")</f>
        <v>https://pbs.twimg.com/profile_images/523095595616329728/_pnP48fE_normal.jpeg</v>
      </c>
      <c r="H116" s="66"/>
      <c r="I116" s="70" t="s">
        <v>308</v>
      </c>
      <c r="J116" s="71"/>
      <c r="K116" s="71"/>
      <c r="L116" s="70" t="s">
        <v>1714</v>
      </c>
      <c r="M116" s="74">
        <v>1.3562649387101726</v>
      </c>
      <c r="N116" s="75">
        <v>4751.50439453125</v>
      </c>
      <c r="O116" s="75">
        <v>3432.28271484375</v>
      </c>
      <c r="P116" s="76"/>
      <c r="Q116" s="77"/>
      <c r="R116" s="77"/>
      <c r="S116" s="89"/>
      <c r="T116" s="49">
        <v>0</v>
      </c>
      <c r="U116" s="49">
        <v>3</v>
      </c>
      <c r="V116" s="50">
        <v>0</v>
      </c>
      <c r="W116" s="50">
        <v>0.045455</v>
      </c>
      <c r="X116" s="50">
        <v>0</v>
      </c>
      <c r="Y116" s="50">
        <v>0.70157</v>
      </c>
      <c r="Z116" s="50">
        <v>0.6666666666666666</v>
      </c>
      <c r="AA116" s="50">
        <v>0</v>
      </c>
      <c r="AB116" s="72">
        <v>116</v>
      </c>
      <c r="AC116" s="72"/>
      <c r="AD116" s="73"/>
      <c r="AE116" s="79" t="s">
        <v>1124</v>
      </c>
      <c r="AF116" s="88" t="s">
        <v>1286</v>
      </c>
      <c r="AG116" s="79">
        <v>669</v>
      </c>
      <c r="AH116" s="79">
        <v>923</v>
      </c>
      <c r="AI116" s="79">
        <v>109620</v>
      </c>
      <c r="AJ116" s="79">
        <v>71341</v>
      </c>
      <c r="AK116" s="79"/>
      <c r="AL116" s="79" t="s">
        <v>1446</v>
      </c>
      <c r="AM116" s="79" t="s">
        <v>1567</v>
      </c>
      <c r="AN116" s="79"/>
      <c r="AO116" s="79"/>
      <c r="AP116" s="81">
        <v>40699.92041666667</v>
      </c>
      <c r="AQ116" s="79"/>
      <c r="AR116" s="79" t="b">
        <v>1</v>
      </c>
      <c r="AS116" s="79" t="b">
        <v>0</v>
      </c>
      <c r="AT116" s="79" t="b">
        <v>1</v>
      </c>
      <c r="AU116" s="79"/>
      <c r="AV116" s="79">
        <v>22</v>
      </c>
      <c r="AW116" s="84" t="str">
        <f>HYPERLINK("https://abs.twimg.com/images/themes/theme1/bg.png")</f>
        <v>https://abs.twimg.com/images/themes/theme1/bg.png</v>
      </c>
      <c r="AX116" s="79" t="b">
        <v>0</v>
      </c>
      <c r="AY116" s="79" t="s">
        <v>1601</v>
      </c>
      <c r="AZ116" s="84" t="str">
        <f>HYPERLINK("https://twitter.com/carlokarl")</f>
        <v>https://twitter.com/carlokarl</v>
      </c>
      <c r="BA116" s="79" t="s">
        <v>66</v>
      </c>
      <c r="BB116" s="79" t="str">
        <f>REPLACE(INDEX(GroupVertices[Group],MATCH(Vertices[[#This Row],[Vertex]],GroupVertices[Vertex],0)),1,1,"")</f>
        <v>4</v>
      </c>
      <c r="BC116" s="49" t="s">
        <v>1822</v>
      </c>
      <c r="BD116" s="49" t="s">
        <v>1822</v>
      </c>
      <c r="BE116" s="49" t="s">
        <v>532</v>
      </c>
      <c r="BF116" s="49" t="s">
        <v>532</v>
      </c>
      <c r="BG116" s="49" t="s">
        <v>558</v>
      </c>
      <c r="BH116" s="49" t="s">
        <v>558</v>
      </c>
      <c r="BI116" s="108" t="s">
        <v>2315</v>
      </c>
      <c r="BJ116" s="108" t="s">
        <v>2315</v>
      </c>
      <c r="BK116" s="108" t="s">
        <v>2154</v>
      </c>
      <c r="BL116" s="108" t="s">
        <v>2154</v>
      </c>
      <c r="BM116" s="108">
        <v>1</v>
      </c>
      <c r="BN116" s="111">
        <v>5.555555555555555</v>
      </c>
      <c r="BO116" s="108">
        <v>0</v>
      </c>
      <c r="BP116" s="111">
        <v>0</v>
      </c>
      <c r="BQ116" s="108">
        <v>0</v>
      </c>
      <c r="BR116" s="111">
        <v>0</v>
      </c>
      <c r="BS116" s="108">
        <v>17</v>
      </c>
      <c r="BT116" s="111">
        <v>94.44444444444444</v>
      </c>
      <c r="BU116" s="108">
        <v>18</v>
      </c>
      <c r="BV116" s="2"/>
      <c r="BW116" s="3"/>
      <c r="BX116" s="3"/>
      <c r="BY116" s="3"/>
      <c r="BZ116" s="3"/>
    </row>
    <row r="117" spans="1:78" ht="41.45" customHeight="1">
      <c r="A117" s="65" t="s">
        <v>309</v>
      </c>
      <c r="C117" s="66"/>
      <c r="D117" s="66" t="s">
        <v>64</v>
      </c>
      <c r="E117" s="67">
        <v>162.35669965550167</v>
      </c>
      <c r="F117" s="69"/>
      <c r="G117" s="103" t="str">
        <f>HYPERLINK("https://pbs.twimg.com/profile_images/762787443305132032/VUiES7w9_normal.jpg")</f>
        <v>https://pbs.twimg.com/profile_images/762787443305132032/VUiES7w9_normal.jpg</v>
      </c>
      <c r="H117" s="66"/>
      <c r="I117" s="70" t="s">
        <v>309</v>
      </c>
      <c r="J117" s="71"/>
      <c r="K117" s="71"/>
      <c r="L117" s="70" t="s">
        <v>1715</v>
      </c>
      <c r="M117" s="74">
        <v>1.2728919953067086</v>
      </c>
      <c r="N117" s="75">
        <v>9375.8740234375</v>
      </c>
      <c r="O117" s="75">
        <v>3448.60791015625</v>
      </c>
      <c r="P117" s="76"/>
      <c r="Q117" s="77"/>
      <c r="R117" s="77"/>
      <c r="S117" s="89"/>
      <c r="T117" s="49">
        <v>2</v>
      </c>
      <c r="U117" s="49">
        <v>1</v>
      </c>
      <c r="V117" s="50">
        <v>0</v>
      </c>
      <c r="W117" s="50">
        <v>1</v>
      </c>
      <c r="X117" s="50">
        <v>0</v>
      </c>
      <c r="Y117" s="50">
        <v>1.298241</v>
      </c>
      <c r="Z117" s="50">
        <v>0</v>
      </c>
      <c r="AA117" s="50">
        <v>0</v>
      </c>
      <c r="AB117" s="72">
        <v>117</v>
      </c>
      <c r="AC117" s="72"/>
      <c r="AD117" s="73"/>
      <c r="AE117" s="79" t="s">
        <v>1125</v>
      </c>
      <c r="AF117" s="88" t="s">
        <v>960</v>
      </c>
      <c r="AG117" s="79">
        <v>294</v>
      </c>
      <c r="AH117" s="79">
        <v>707</v>
      </c>
      <c r="AI117" s="79">
        <v>1567</v>
      </c>
      <c r="AJ117" s="79">
        <v>1180</v>
      </c>
      <c r="AK117" s="79"/>
      <c r="AL117" s="79" t="s">
        <v>1447</v>
      </c>
      <c r="AM117" s="79" t="s">
        <v>1568</v>
      </c>
      <c r="AN117" s="79"/>
      <c r="AO117" s="79"/>
      <c r="AP117" s="81">
        <v>41469.323958333334</v>
      </c>
      <c r="AQ117" s="84" t="str">
        <f>HYPERLINK("https://pbs.twimg.com/profile_banners/1592844931/1633835269")</f>
        <v>https://pbs.twimg.com/profile_banners/1592844931/1633835269</v>
      </c>
      <c r="AR117" s="79" t="b">
        <v>0</v>
      </c>
      <c r="AS117" s="79" t="b">
        <v>0</v>
      </c>
      <c r="AT117" s="79" t="b">
        <v>0</v>
      </c>
      <c r="AU117" s="79"/>
      <c r="AV117" s="79">
        <v>1</v>
      </c>
      <c r="AW117" s="84" t="str">
        <f>HYPERLINK("https://abs.twimg.com/images/themes/theme1/bg.png")</f>
        <v>https://abs.twimg.com/images/themes/theme1/bg.png</v>
      </c>
      <c r="AX117" s="79" t="b">
        <v>0</v>
      </c>
      <c r="AY117" s="79" t="s">
        <v>1601</v>
      </c>
      <c r="AZ117" s="84" t="str">
        <f>HYPERLINK("https://twitter.com/upcells")</f>
        <v>https://twitter.com/upcells</v>
      </c>
      <c r="BA117" s="79" t="s">
        <v>66</v>
      </c>
      <c r="BB117" s="79" t="str">
        <f>REPLACE(INDEX(GroupVertices[Group],MATCH(Vertices[[#This Row],[Vertex]],GroupVertices[Vertex],0)),1,1,"")</f>
        <v>18</v>
      </c>
      <c r="BC117" s="49"/>
      <c r="BD117" s="49"/>
      <c r="BE117" s="49"/>
      <c r="BF117" s="49"/>
      <c r="BG117" s="49"/>
      <c r="BH117" s="49"/>
      <c r="BI117" s="108" t="s">
        <v>2317</v>
      </c>
      <c r="BJ117" s="108" t="s">
        <v>2347</v>
      </c>
      <c r="BK117" s="108" t="s">
        <v>2165</v>
      </c>
      <c r="BL117" s="108" t="s">
        <v>2413</v>
      </c>
      <c r="BM117" s="108">
        <v>4</v>
      </c>
      <c r="BN117" s="111">
        <v>5.2631578947368425</v>
      </c>
      <c r="BO117" s="108">
        <v>0</v>
      </c>
      <c r="BP117" s="111">
        <v>0</v>
      </c>
      <c r="BQ117" s="108">
        <v>0</v>
      </c>
      <c r="BR117" s="111">
        <v>0</v>
      </c>
      <c r="BS117" s="108">
        <v>72</v>
      </c>
      <c r="BT117" s="111">
        <v>94.73684210526316</v>
      </c>
      <c r="BU117" s="108">
        <v>76</v>
      </c>
      <c r="BV117" s="2"/>
      <c r="BW117" s="3"/>
      <c r="BX117" s="3"/>
      <c r="BY117" s="3"/>
      <c r="BZ117" s="3"/>
    </row>
    <row r="118" spans="1:78" ht="41.45" customHeight="1">
      <c r="A118" s="65" t="s">
        <v>310</v>
      </c>
      <c r="C118" s="66"/>
      <c r="D118" s="66" t="s">
        <v>64</v>
      </c>
      <c r="E118" s="67">
        <v>162.30927424161604</v>
      </c>
      <c r="F118" s="69"/>
      <c r="G118" s="103" t="str">
        <f>HYPERLINK("https://pbs.twimg.com/profile_images/1434785434509340681/s7DHMbZw_normal.jpg")</f>
        <v>https://pbs.twimg.com/profile_images/1434785434509340681/s7DHMbZw_normal.jpg</v>
      </c>
      <c r="H118" s="66"/>
      <c r="I118" s="70" t="s">
        <v>310</v>
      </c>
      <c r="J118" s="71"/>
      <c r="K118" s="71"/>
      <c r="L118" s="70" t="s">
        <v>1716</v>
      </c>
      <c r="M118" s="74">
        <v>1.2366093254922381</v>
      </c>
      <c r="N118" s="75">
        <v>9375.8740234375</v>
      </c>
      <c r="O118" s="75">
        <v>3697.274169921875</v>
      </c>
      <c r="P118" s="76"/>
      <c r="Q118" s="77"/>
      <c r="R118" s="77"/>
      <c r="S118" s="89"/>
      <c r="T118" s="49">
        <v>0</v>
      </c>
      <c r="U118" s="49">
        <v>1</v>
      </c>
      <c r="V118" s="50">
        <v>0</v>
      </c>
      <c r="W118" s="50">
        <v>1</v>
      </c>
      <c r="X118" s="50">
        <v>0</v>
      </c>
      <c r="Y118" s="50">
        <v>0.701752</v>
      </c>
      <c r="Z118" s="50">
        <v>0</v>
      </c>
      <c r="AA118" s="50">
        <v>0</v>
      </c>
      <c r="AB118" s="72">
        <v>118</v>
      </c>
      <c r="AC118" s="72"/>
      <c r="AD118" s="73"/>
      <c r="AE118" s="79" t="s">
        <v>1126</v>
      </c>
      <c r="AF118" s="88" t="s">
        <v>1287</v>
      </c>
      <c r="AG118" s="79">
        <v>502</v>
      </c>
      <c r="AH118" s="79">
        <v>613</v>
      </c>
      <c r="AI118" s="79">
        <v>17145</v>
      </c>
      <c r="AJ118" s="79">
        <v>46484</v>
      </c>
      <c r="AK118" s="79"/>
      <c r="AL118" s="79" t="s">
        <v>1448</v>
      </c>
      <c r="AM118" s="79" t="s">
        <v>1568</v>
      </c>
      <c r="AN118" s="79"/>
      <c r="AO118" s="79"/>
      <c r="AP118" s="81">
        <v>41734.588275462964</v>
      </c>
      <c r="AQ118" s="84" t="str">
        <f>HYPERLINK("https://pbs.twimg.com/profile_banners/2428970191/1630914478")</f>
        <v>https://pbs.twimg.com/profile_banners/2428970191/1630914478</v>
      </c>
      <c r="AR118" s="79" t="b">
        <v>0</v>
      </c>
      <c r="AS118" s="79" t="b">
        <v>0</v>
      </c>
      <c r="AT118" s="79" t="b">
        <v>0</v>
      </c>
      <c r="AU118" s="79"/>
      <c r="AV118" s="79">
        <v>0</v>
      </c>
      <c r="AW118" s="84" t="str">
        <f>HYPERLINK("https://abs.twimg.com/images/themes/theme1/bg.png")</f>
        <v>https://abs.twimg.com/images/themes/theme1/bg.png</v>
      </c>
      <c r="AX118" s="79" t="b">
        <v>0</v>
      </c>
      <c r="AY118" s="79" t="s">
        <v>1601</v>
      </c>
      <c r="AZ118" s="84" t="str">
        <f>HYPERLINK("https://twitter.com/hoycristel")</f>
        <v>https://twitter.com/hoycristel</v>
      </c>
      <c r="BA118" s="79" t="s">
        <v>66</v>
      </c>
      <c r="BB118" s="79" t="str">
        <f>REPLACE(INDEX(GroupVertices[Group],MATCH(Vertices[[#This Row],[Vertex]],GroupVertices[Vertex],0)),1,1,"")</f>
        <v>18</v>
      </c>
      <c r="BC118" s="49"/>
      <c r="BD118" s="49"/>
      <c r="BE118" s="49"/>
      <c r="BF118" s="49"/>
      <c r="BG118" s="49"/>
      <c r="BH118" s="49"/>
      <c r="BI118" s="108" t="s">
        <v>2317</v>
      </c>
      <c r="BJ118" s="108" t="s">
        <v>2347</v>
      </c>
      <c r="BK118" s="108" t="s">
        <v>2165</v>
      </c>
      <c r="BL118" s="108" t="s">
        <v>2413</v>
      </c>
      <c r="BM118" s="108">
        <v>4</v>
      </c>
      <c r="BN118" s="111">
        <v>5.2631578947368425</v>
      </c>
      <c r="BO118" s="108">
        <v>0</v>
      </c>
      <c r="BP118" s="111">
        <v>0</v>
      </c>
      <c r="BQ118" s="108">
        <v>0</v>
      </c>
      <c r="BR118" s="111">
        <v>0</v>
      </c>
      <c r="BS118" s="108">
        <v>72</v>
      </c>
      <c r="BT118" s="111">
        <v>94.73684210526316</v>
      </c>
      <c r="BU118" s="108">
        <v>76</v>
      </c>
      <c r="BV118" s="2"/>
      <c r="BW118" s="3"/>
      <c r="BX118" s="3"/>
      <c r="BY118" s="3"/>
      <c r="BZ118" s="3"/>
    </row>
    <row r="119" spans="1:78" ht="41.45" customHeight="1">
      <c r="A119" s="65" t="s">
        <v>311</v>
      </c>
      <c r="C119" s="66"/>
      <c r="D119" s="66" t="s">
        <v>64</v>
      </c>
      <c r="E119" s="67">
        <v>164.02970680917008</v>
      </c>
      <c r="F119" s="69"/>
      <c r="G119" s="103" t="str">
        <f>HYPERLINK("https://pbs.twimg.com/profile_images/1423781100762112000/RPH1_nn-_normal.jpg")</f>
        <v>https://pbs.twimg.com/profile_images/1423781100762112000/RPH1_nn-_normal.jpg</v>
      </c>
      <c r="H119" s="66"/>
      <c r="I119" s="70" t="s">
        <v>311</v>
      </c>
      <c r="J119" s="71"/>
      <c r="K119" s="71"/>
      <c r="L119" s="70" t="s">
        <v>1717</v>
      </c>
      <c r="M119" s="74">
        <v>2.552821070889517</v>
      </c>
      <c r="N119" s="75">
        <v>3931.625732421875</v>
      </c>
      <c r="O119" s="75">
        <v>3352.749755859375</v>
      </c>
      <c r="P119" s="76"/>
      <c r="Q119" s="77"/>
      <c r="R119" s="77"/>
      <c r="S119" s="89"/>
      <c r="T119" s="49">
        <v>1</v>
      </c>
      <c r="U119" s="49">
        <v>1</v>
      </c>
      <c r="V119" s="50">
        <v>0</v>
      </c>
      <c r="W119" s="50">
        <v>0.043478</v>
      </c>
      <c r="X119" s="50">
        <v>0</v>
      </c>
      <c r="Y119" s="50">
        <v>0.585253</v>
      </c>
      <c r="Z119" s="50">
        <v>0.5</v>
      </c>
      <c r="AA119" s="50">
        <v>0</v>
      </c>
      <c r="AB119" s="72">
        <v>119</v>
      </c>
      <c r="AC119" s="72"/>
      <c r="AD119" s="73"/>
      <c r="AE119" s="79" t="s">
        <v>1127</v>
      </c>
      <c r="AF119" s="88" t="s">
        <v>1288</v>
      </c>
      <c r="AG119" s="79">
        <v>4045</v>
      </c>
      <c r="AH119" s="79">
        <v>4023</v>
      </c>
      <c r="AI119" s="79">
        <v>11202</v>
      </c>
      <c r="AJ119" s="79">
        <v>17960</v>
      </c>
      <c r="AK119" s="79"/>
      <c r="AL119" s="79" t="s">
        <v>1449</v>
      </c>
      <c r="AM119" s="79"/>
      <c r="AN119" s="79"/>
      <c r="AO119" s="79"/>
      <c r="AP119" s="81">
        <v>41846.69724537037</v>
      </c>
      <c r="AQ119" s="84" t="str">
        <f>HYPERLINK("https://pbs.twimg.com/profile_banners/2725407796/1628290660")</f>
        <v>https://pbs.twimg.com/profile_banners/2725407796/1628290660</v>
      </c>
      <c r="AR119" s="79" t="b">
        <v>0</v>
      </c>
      <c r="AS119" s="79" t="b">
        <v>0</v>
      </c>
      <c r="AT119" s="79" t="b">
        <v>0</v>
      </c>
      <c r="AU119" s="79"/>
      <c r="AV119" s="79">
        <v>11</v>
      </c>
      <c r="AW119" s="84" t="str">
        <f>HYPERLINK("https://abs.twimg.com/images/themes/theme1/bg.png")</f>
        <v>https://abs.twimg.com/images/themes/theme1/bg.png</v>
      </c>
      <c r="AX119" s="79" t="b">
        <v>0</v>
      </c>
      <c r="AY119" s="79" t="s">
        <v>1601</v>
      </c>
      <c r="AZ119" s="84" t="str">
        <f>HYPERLINK("https://twitter.com/rtopitsch")</f>
        <v>https://twitter.com/rtopitsch</v>
      </c>
      <c r="BA119" s="79" t="s">
        <v>66</v>
      </c>
      <c r="BB119" s="79" t="str">
        <f>REPLACE(INDEX(GroupVertices[Group],MATCH(Vertices[[#This Row],[Vertex]],GroupVertices[Vertex],0)),1,1,"")</f>
        <v>4</v>
      </c>
      <c r="BC119" s="49" t="s">
        <v>1822</v>
      </c>
      <c r="BD119" s="49" t="s">
        <v>1822</v>
      </c>
      <c r="BE119" s="49" t="s">
        <v>532</v>
      </c>
      <c r="BF119" s="49" t="s">
        <v>532</v>
      </c>
      <c r="BG119" s="49"/>
      <c r="BH119" s="49"/>
      <c r="BI119" s="108" t="s">
        <v>2318</v>
      </c>
      <c r="BJ119" s="108" t="s">
        <v>2318</v>
      </c>
      <c r="BK119" s="108" t="s">
        <v>2386</v>
      </c>
      <c r="BL119" s="108" t="s">
        <v>2386</v>
      </c>
      <c r="BM119" s="108">
        <v>0</v>
      </c>
      <c r="BN119" s="111">
        <v>0</v>
      </c>
      <c r="BO119" s="108">
        <v>0</v>
      </c>
      <c r="BP119" s="111">
        <v>0</v>
      </c>
      <c r="BQ119" s="108">
        <v>0</v>
      </c>
      <c r="BR119" s="111">
        <v>0</v>
      </c>
      <c r="BS119" s="108">
        <v>13</v>
      </c>
      <c r="BT119" s="111">
        <v>100</v>
      </c>
      <c r="BU119" s="108">
        <v>13</v>
      </c>
      <c r="BV119" s="2"/>
      <c r="BW119" s="3"/>
      <c r="BX119" s="3"/>
      <c r="BY119" s="3"/>
      <c r="BZ119" s="3"/>
    </row>
    <row r="120" spans="1:78" ht="41.45" customHeight="1">
      <c r="A120" s="65" t="s">
        <v>312</v>
      </c>
      <c r="C120" s="66"/>
      <c r="D120" s="66" t="s">
        <v>64</v>
      </c>
      <c r="E120" s="67">
        <v>163.02317807829903</v>
      </c>
      <c r="F120" s="69"/>
      <c r="G120" s="103" t="str">
        <f>HYPERLINK("https://pbs.twimg.com/profile_images/1095176099066245120/w7NpPKkN_normal.jpg")</f>
        <v>https://pbs.twimg.com/profile_images/1095176099066245120/w7NpPKkN_normal.jpg</v>
      </c>
      <c r="H120" s="66"/>
      <c r="I120" s="70" t="s">
        <v>312</v>
      </c>
      <c r="J120" s="71"/>
      <c r="K120" s="71"/>
      <c r="L120" s="70" t="s">
        <v>1718</v>
      </c>
      <c r="M120" s="74">
        <v>1.7827793019547453</v>
      </c>
      <c r="N120" s="75">
        <v>4112.3271484375</v>
      </c>
      <c r="O120" s="75">
        <v>3873.9580078125</v>
      </c>
      <c r="P120" s="76"/>
      <c r="Q120" s="77"/>
      <c r="R120" s="77"/>
      <c r="S120" s="89"/>
      <c r="T120" s="49">
        <v>0</v>
      </c>
      <c r="U120" s="49">
        <v>2</v>
      </c>
      <c r="V120" s="50">
        <v>0</v>
      </c>
      <c r="W120" s="50">
        <v>0.043478</v>
      </c>
      <c r="X120" s="50">
        <v>0</v>
      </c>
      <c r="Y120" s="50">
        <v>0.585253</v>
      </c>
      <c r="Z120" s="50">
        <v>0.5</v>
      </c>
      <c r="AA120" s="50">
        <v>0</v>
      </c>
      <c r="AB120" s="72">
        <v>120</v>
      </c>
      <c r="AC120" s="72"/>
      <c r="AD120" s="73"/>
      <c r="AE120" s="79" t="s">
        <v>1128</v>
      </c>
      <c r="AF120" s="88" t="s">
        <v>1289</v>
      </c>
      <c r="AG120" s="79">
        <v>2133</v>
      </c>
      <c r="AH120" s="79">
        <v>2028</v>
      </c>
      <c r="AI120" s="79">
        <v>25026</v>
      </c>
      <c r="AJ120" s="79">
        <v>255875</v>
      </c>
      <c r="AK120" s="79"/>
      <c r="AL120" s="79" t="s">
        <v>1450</v>
      </c>
      <c r="AM120" s="79" t="s">
        <v>1569</v>
      </c>
      <c r="AN120" s="79"/>
      <c r="AO120" s="79"/>
      <c r="AP120" s="81">
        <v>43458.81133101852</v>
      </c>
      <c r="AQ120" s="84" t="str">
        <f>HYPERLINK("https://pbs.twimg.com/profile_banners/1077284856021872640/1549797256")</f>
        <v>https://pbs.twimg.com/profile_banners/1077284856021872640/1549797256</v>
      </c>
      <c r="AR120" s="79" t="b">
        <v>1</v>
      </c>
      <c r="AS120" s="79" t="b">
        <v>0</v>
      </c>
      <c r="AT120" s="79" t="b">
        <v>0</v>
      </c>
      <c r="AU120" s="79"/>
      <c r="AV120" s="79">
        <v>3</v>
      </c>
      <c r="AW120" s="79"/>
      <c r="AX120" s="79" t="b">
        <v>0</v>
      </c>
      <c r="AY120" s="79" t="s">
        <v>1601</v>
      </c>
      <c r="AZ120" s="84" t="str">
        <f>HYPERLINK("https://twitter.com/augustakaiserin")</f>
        <v>https://twitter.com/augustakaiserin</v>
      </c>
      <c r="BA120" s="79" t="s">
        <v>66</v>
      </c>
      <c r="BB120" s="79" t="str">
        <f>REPLACE(INDEX(GroupVertices[Group],MATCH(Vertices[[#This Row],[Vertex]],GroupVertices[Vertex],0)),1,1,"")</f>
        <v>4</v>
      </c>
      <c r="BC120" s="49" t="s">
        <v>1822</v>
      </c>
      <c r="BD120" s="49" t="s">
        <v>1822</v>
      </c>
      <c r="BE120" s="49" t="s">
        <v>532</v>
      </c>
      <c r="BF120" s="49" t="s">
        <v>532</v>
      </c>
      <c r="BG120" s="49"/>
      <c r="BH120" s="49"/>
      <c r="BI120" s="108" t="s">
        <v>2318</v>
      </c>
      <c r="BJ120" s="108" t="s">
        <v>2318</v>
      </c>
      <c r="BK120" s="108" t="s">
        <v>2386</v>
      </c>
      <c r="BL120" s="108" t="s">
        <v>2386</v>
      </c>
      <c r="BM120" s="108">
        <v>0</v>
      </c>
      <c r="BN120" s="111">
        <v>0</v>
      </c>
      <c r="BO120" s="108">
        <v>0</v>
      </c>
      <c r="BP120" s="111">
        <v>0</v>
      </c>
      <c r="BQ120" s="108">
        <v>0</v>
      </c>
      <c r="BR120" s="111">
        <v>0</v>
      </c>
      <c r="BS120" s="108">
        <v>13</v>
      </c>
      <c r="BT120" s="111">
        <v>100</v>
      </c>
      <c r="BU120" s="108">
        <v>13</v>
      </c>
      <c r="BV120" s="2"/>
      <c r="BW120" s="3"/>
      <c r="BX120" s="3"/>
      <c r="BY120" s="3"/>
      <c r="BZ120" s="3"/>
    </row>
    <row r="121" spans="1:78" ht="41.45" customHeight="1">
      <c r="A121" s="65" t="s">
        <v>313</v>
      </c>
      <c r="C121" s="66"/>
      <c r="D121" s="66" t="s">
        <v>64</v>
      </c>
      <c r="E121" s="67">
        <v>162.74417537746106</v>
      </c>
      <c r="F121" s="69"/>
      <c r="G121" s="103" t="str">
        <f>HYPERLINK("https://pbs.twimg.com/profile_images/1436345225484591126/z5Sk0hUb_normal.jpg")</f>
        <v>https://pbs.twimg.com/profile_images/1436345225484591126/z5Sk0hUb_normal.jpg</v>
      </c>
      <c r="H121" s="66"/>
      <c r="I121" s="70" t="s">
        <v>313</v>
      </c>
      <c r="J121" s="71"/>
      <c r="K121" s="71"/>
      <c r="L121" s="70" t="s">
        <v>1719</v>
      </c>
      <c r="M121" s="74">
        <v>1.569329127407914</v>
      </c>
      <c r="N121" s="75">
        <v>1133.944580078125</v>
      </c>
      <c r="O121" s="75">
        <v>1864.9967041015625</v>
      </c>
      <c r="P121" s="76"/>
      <c r="Q121" s="77"/>
      <c r="R121" s="77"/>
      <c r="S121" s="89"/>
      <c r="T121" s="49">
        <v>1</v>
      </c>
      <c r="U121" s="49">
        <v>1</v>
      </c>
      <c r="V121" s="50">
        <v>0</v>
      </c>
      <c r="W121" s="50">
        <v>0</v>
      </c>
      <c r="X121" s="50">
        <v>0</v>
      </c>
      <c r="Y121" s="50">
        <v>0.999997</v>
      </c>
      <c r="Z121" s="50">
        <v>0</v>
      </c>
      <c r="AA121" s="50">
        <v>0</v>
      </c>
      <c r="AB121" s="72">
        <v>121</v>
      </c>
      <c r="AC121" s="72"/>
      <c r="AD121" s="73"/>
      <c r="AE121" s="79" t="s">
        <v>1129</v>
      </c>
      <c r="AF121" s="88" t="s">
        <v>1290</v>
      </c>
      <c r="AG121" s="79">
        <v>2001</v>
      </c>
      <c r="AH121" s="79">
        <v>1475</v>
      </c>
      <c r="AI121" s="79">
        <v>2726</v>
      </c>
      <c r="AJ121" s="79">
        <v>63</v>
      </c>
      <c r="AK121" s="79"/>
      <c r="AL121" s="79" t="s">
        <v>1451</v>
      </c>
      <c r="AM121" s="79" t="s">
        <v>1517</v>
      </c>
      <c r="AN121" s="84" t="str">
        <f>HYPERLINK("https://t.co/BFZENAcEWf")</f>
        <v>https://t.co/BFZENAcEWf</v>
      </c>
      <c r="AO121" s="79"/>
      <c r="AP121" s="81">
        <v>43300.4949537037</v>
      </c>
      <c r="AQ121" s="84" t="str">
        <f>HYPERLINK("https://pbs.twimg.com/profile_banners/1019912923521671169/1631286489")</f>
        <v>https://pbs.twimg.com/profile_banners/1019912923521671169/1631286489</v>
      </c>
      <c r="AR121" s="79" t="b">
        <v>0</v>
      </c>
      <c r="AS121" s="79" t="b">
        <v>0</v>
      </c>
      <c r="AT121" s="79" t="b">
        <v>0</v>
      </c>
      <c r="AU121" s="79"/>
      <c r="AV121" s="79">
        <v>19</v>
      </c>
      <c r="AW121" s="84" t="str">
        <f>HYPERLINK("https://abs.twimg.com/images/themes/theme1/bg.png")</f>
        <v>https://abs.twimg.com/images/themes/theme1/bg.png</v>
      </c>
      <c r="AX121" s="79" t="b">
        <v>0</v>
      </c>
      <c r="AY121" s="79" t="s">
        <v>1601</v>
      </c>
      <c r="AZ121" s="84" t="str">
        <f>HYPERLINK("https://twitter.com/foodtechmatters")</f>
        <v>https://twitter.com/foodtechmatters</v>
      </c>
      <c r="BA121" s="79" t="s">
        <v>66</v>
      </c>
      <c r="BB121" s="79" t="str">
        <f>REPLACE(INDEX(GroupVertices[Group],MATCH(Vertices[[#This Row],[Vertex]],GroupVertices[Vertex],0)),1,1,"")</f>
        <v>2</v>
      </c>
      <c r="BC121" s="49" t="s">
        <v>509</v>
      </c>
      <c r="BD121" s="49" t="s">
        <v>509</v>
      </c>
      <c r="BE121" s="49" t="s">
        <v>536</v>
      </c>
      <c r="BF121" s="49" t="s">
        <v>536</v>
      </c>
      <c r="BG121" s="49"/>
      <c r="BH121" s="49"/>
      <c r="BI121" s="108" t="s">
        <v>2319</v>
      </c>
      <c r="BJ121" s="108" t="s">
        <v>2319</v>
      </c>
      <c r="BK121" s="108" t="s">
        <v>2387</v>
      </c>
      <c r="BL121" s="108" t="s">
        <v>2387</v>
      </c>
      <c r="BM121" s="108">
        <v>0</v>
      </c>
      <c r="BN121" s="111">
        <v>0</v>
      </c>
      <c r="BO121" s="108">
        <v>0</v>
      </c>
      <c r="BP121" s="111">
        <v>0</v>
      </c>
      <c r="BQ121" s="108">
        <v>0</v>
      </c>
      <c r="BR121" s="111">
        <v>0</v>
      </c>
      <c r="BS121" s="108">
        <v>25</v>
      </c>
      <c r="BT121" s="111">
        <v>100</v>
      </c>
      <c r="BU121" s="108">
        <v>25</v>
      </c>
      <c r="BV121" s="2"/>
      <c r="BW121" s="3"/>
      <c r="BX121" s="3"/>
      <c r="BY121" s="3"/>
      <c r="BZ121" s="3"/>
    </row>
    <row r="122" spans="1:78" ht="41.45" customHeight="1">
      <c r="A122" s="65" t="s">
        <v>315</v>
      </c>
      <c r="C122" s="66"/>
      <c r="D122" s="66" t="s">
        <v>64</v>
      </c>
      <c r="E122" s="67">
        <v>164.79154058541837</v>
      </c>
      <c r="F122" s="69"/>
      <c r="G122" s="103" t="str">
        <f>HYPERLINK("https://pbs.twimg.com/profile_images/1235445624582987776/EWHHKoBp_normal.jpg")</f>
        <v>https://pbs.twimg.com/profile_images/1235445624582987776/EWHHKoBp_normal.jpg</v>
      </c>
      <c r="H122" s="66"/>
      <c r="I122" s="70" t="s">
        <v>315</v>
      </c>
      <c r="J122" s="71"/>
      <c r="K122" s="71"/>
      <c r="L122" s="70" t="s">
        <v>1720</v>
      </c>
      <c r="M122" s="74">
        <v>3.135659703015585</v>
      </c>
      <c r="N122" s="75">
        <v>667.8076171875</v>
      </c>
      <c r="O122" s="75">
        <v>1145.1734619140625</v>
      </c>
      <c r="P122" s="76"/>
      <c r="Q122" s="77"/>
      <c r="R122" s="77"/>
      <c r="S122" s="89"/>
      <c r="T122" s="49">
        <v>1</v>
      </c>
      <c r="U122" s="49">
        <v>1</v>
      </c>
      <c r="V122" s="50">
        <v>0</v>
      </c>
      <c r="W122" s="50">
        <v>0</v>
      </c>
      <c r="X122" s="50">
        <v>0</v>
      </c>
      <c r="Y122" s="50">
        <v>0.999997</v>
      </c>
      <c r="Z122" s="50">
        <v>0</v>
      </c>
      <c r="AA122" s="50">
        <v>0</v>
      </c>
      <c r="AB122" s="72">
        <v>122</v>
      </c>
      <c r="AC122" s="72"/>
      <c r="AD122" s="73"/>
      <c r="AE122" s="79" t="s">
        <v>1130</v>
      </c>
      <c r="AF122" s="88" t="s">
        <v>1291</v>
      </c>
      <c r="AG122" s="79">
        <v>3423</v>
      </c>
      <c r="AH122" s="79">
        <v>5533</v>
      </c>
      <c r="AI122" s="79">
        <v>24584</v>
      </c>
      <c r="AJ122" s="79">
        <v>152</v>
      </c>
      <c r="AK122" s="79"/>
      <c r="AL122" s="79" t="s">
        <v>1452</v>
      </c>
      <c r="AM122" s="79" t="s">
        <v>1570</v>
      </c>
      <c r="AN122" s="84" t="str">
        <f>HYPERLINK("https://t.co/nqgzoKYwqB")</f>
        <v>https://t.co/nqgzoKYwqB</v>
      </c>
      <c r="AO122" s="79"/>
      <c r="AP122" s="81">
        <v>39928.54760416667</v>
      </c>
      <c r="AQ122" s="84" t="str">
        <f>HYPERLINK("https://pbs.twimg.com/profile_banners/35207120/1633879812")</f>
        <v>https://pbs.twimg.com/profile_banners/35207120/1633879812</v>
      </c>
      <c r="AR122" s="79" t="b">
        <v>0</v>
      </c>
      <c r="AS122" s="79" t="b">
        <v>0</v>
      </c>
      <c r="AT122" s="79" t="b">
        <v>1</v>
      </c>
      <c r="AU122" s="79"/>
      <c r="AV122" s="79">
        <v>258</v>
      </c>
      <c r="AW122" s="84" t="str">
        <f>HYPERLINK("https://abs.twimg.com/images/themes/theme14/bg.gif")</f>
        <v>https://abs.twimg.com/images/themes/theme14/bg.gif</v>
      </c>
      <c r="AX122" s="79" t="b">
        <v>0</v>
      </c>
      <c r="AY122" s="79" t="s">
        <v>1601</v>
      </c>
      <c r="AZ122" s="84" t="str">
        <f>HYPERLINK("https://twitter.com/ttranpham")</f>
        <v>https://twitter.com/ttranpham</v>
      </c>
      <c r="BA122" s="79" t="s">
        <v>66</v>
      </c>
      <c r="BB122" s="79" t="str">
        <f>REPLACE(INDEX(GroupVertices[Group],MATCH(Vertices[[#This Row],[Vertex]],GroupVertices[Vertex],0)),1,1,"")</f>
        <v>2</v>
      </c>
      <c r="BC122" s="49" t="s">
        <v>510</v>
      </c>
      <c r="BD122" s="49" t="s">
        <v>510</v>
      </c>
      <c r="BE122" s="49" t="s">
        <v>522</v>
      </c>
      <c r="BF122" s="49" t="s">
        <v>522</v>
      </c>
      <c r="BG122" s="49" t="s">
        <v>559</v>
      </c>
      <c r="BH122" s="49" t="s">
        <v>559</v>
      </c>
      <c r="BI122" s="108" t="s">
        <v>2308</v>
      </c>
      <c r="BJ122" s="108" t="s">
        <v>2308</v>
      </c>
      <c r="BK122" s="108" t="s">
        <v>2380</v>
      </c>
      <c r="BL122" s="108" t="s">
        <v>2380</v>
      </c>
      <c r="BM122" s="108">
        <v>0</v>
      </c>
      <c r="BN122" s="111">
        <v>0</v>
      </c>
      <c r="BO122" s="108">
        <v>0</v>
      </c>
      <c r="BP122" s="111">
        <v>0</v>
      </c>
      <c r="BQ122" s="108">
        <v>0</v>
      </c>
      <c r="BR122" s="111">
        <v>0</v>
      </c>
      <c r="BS122" s="108">
        <v>16</v>
      </c>
      <c r="BT122" s="111">
        <v>100</v>
      </c>
      <c r="BU122" s="108">
        <v>16</v>
      </c>
      <c r="BV122" s="2"/>
      <c r="BW122" s="3"/>
      <c r="BX122" s="3"/>
      <c r="BY122" s="3"/>
      <c r="BZ122" s="3"/>
    </row>
    <row r="123" spans="1:78" ht="41.45" customHeight="1">
      <c r="A123" s="65" t="s">
        <v>316</v>
      </c>
      <c r="C123" s="66"/>
      <c r="D123" s="66" t="s">
        <v>64</v>
      </c>
      <c r="E123" s="67">
        <v>162.79210531702637</v>
      </c>
      <c r="F123" s="69"/>
      <c r="G123" s="103" t="str">
        <f>HYPERLINK("https://pbs.twimg.com/profile_images/1251222493559435264/__qt2TFb_normal.jpg")</f>
        <v>https://pbs.twimg.com/profile_images/1251222493559435264/__qt2TFb_normal.jpg</v>
      </c>
      <c r="H123" s="66"/>
      <c r="I123" s="70" t="s">
        <v>316</v>
      </c>
      <c r="J123" s="71"/>
      <c r="K123" s="71"/>
      <c r="L123" s="70" t="s">
        <v>1721</v>
      </c>
      <c r="M123" s="74">
        <v>1.6059977830714744</v>
      </c>
      <c r="N123" s="75">
        <v>4087.022705078125</v>
      </c>
      <c r="O123" s="75">
        <v>1323.303955078125</v>
      </c>
      <c r="P123" s="76"/>
      <c r="Q123" s="77"/>
      <c r="R123" s="77"/>
      <c r="S123" s="89"/>
      <c r="T123" s="49">
        <v>1</v>
      </c>
      <c r="U123" s="49">
        <v>3</v>
      </c>
      <c r="V123" s="50">
        <v>10</v>
      </c>
      <c r="W123" s="50">
        <v>0.05</v>
      </c>
      <c r="X123" s="50">
        <v>0</v>
      </c>
      <c r="Y123" s="50">
        <v>0.958574</v>
      </c>
      <c r="Z123" s="50">
        <v>0.3333333333333333</v>
      </c>
      <c r="AA123" s="50">
        <v>0</v>
      </c>
      <c r="AB123" s="72">
        <v>123</v>
      </c>
      <c r="AC123" s="72"/>
      <c r="AD123" s="73"/>
      <c r="AE123" s="79" t="s">
        <v>1131</v>
      </c>
      <c r="AF123" s="88" t="s">
        <v>1292</v>
      </c>
      <c r="AG123" s="79">
        <v>94</v>
      </c>
      <c r="AH123" s="79">
        <v>1570</v>
      </c>
      <c r="AI123" s="79">
        <v>1459</v>
      </c>
      <c r="AJ123" s="79">
        <v>476</v>
      </c>
      <c r="AK123" s="79"/>
      <c r="AL123" s="79" t="s">
        <v>1453</v>
      </c>
      <c r="AM123" s="79" t="s">
        <v>1550</v>
      </c>
      <c r="AN123" s="84" t="str">
        <f>HYPERLINK("https://t.co/yEmG8wLs0n")</f>
        <v>https://t.co/yEmG8wLs0n</v>
      </c>
      <c r="AO123" s="79"/>
      <c r="AP123" s="81">
        <v>39923.71435185185</v>
      </c>
      <c r="AQ123" s="84" t="str">
        <f>HYPERLINK("https://pbs.twimg.com/profile_banners/33583331/1587150475")</f>
        <v>https://pbs.twimg.com/profile_banners/33583331/1587150475</v>
      </c>
      <c r="AR123" s="79" t="b">
        <v>0</v>
      </c>
      <c r="AS123" s="79" t="b">
        <v>0</v>
      </c>
      <c r="AT123" s="79" t="b">
        <v>1</v>
      </c>
      <c r="AU123" s="79"/>
      <c r="AV123" s="79">
        <v>42</v>
      </c>
      <c r="AW123" s="84" t="str">
        <f>HYPERLINK("https://abs.twimg.com/images/themes/theme3/bg.gif")</f>
        <v>https://abs.twimg.com/images/themes/theme3/bg.gif</v>
      </c>
      <c r="AX123" s="79" t="b">
        <v>0</v>
      </c>
      <c r="AY123" s="79" t="s">
        <v>1601</v>
      </c>
      <c r="AZ123" s="84" t="str">
        <f>HYPERLINK("https://twitter.com/koelnmesseinc")</f>
        <v>https://twitter.com/koelnmesseinc</v>
      </c>
      <c r="BA123" s="79" t="s">
        <v>66</v>
      </c>
      <c r="BB123" s="79" t="str">
        <f>REPLACE(INDEX(GroupVertices[Group],MATCH(Vertices[[#This Row],[Vertex]],GroupVertices[Vertex],0)),1,1,"")</f>
        <v>4</v>
      </c>
      <c r="BC123" s="49" t="s">
        <v>1822</v>
      </c>
      <c r="BD123" s="49" t="s">
        <v>1822</v>
      </c>
      <c r="BE123" s="49" t="s">
        <v>532</v>
      </c>
      <c r="BF123" s="49" t="s">
        <v>532</v>
      </c>
      <c r="BG123" s="49"/>
      <c r="BH123" s="49"/>
      <c r="BI123" s="108" t="s">
        <v>2320</v>
      </c>
      <c r="BJ123" s="108" t="s">
        <v>2320</v>
      </c>
      <c r="BK123" s="108" t="s">
        <v>2388</v>
      </c>
      <c r="BL123" s="108" t="s">
        <v>2388</v>
      </c>
      <c r="BM123" s="108">
        <v>0</v>
      </c>
      <c r="BN123" s="111">
        <v>0</v>
      </c>
      <c r="BO123" s="108">
        <v>0</v>
      </c>
      <c r="BP123" s="111">
        <v>0</v>
      </c>
      <c r="BQ123" s="108">
        <v>0</v>
      </c>
      <c r="BR123" s="111">
        <v>0</v>
      </c>
      <c r="BS123" s="108">
        <v>20</v>
      </c>
      <c r="BT123" s="111">
        <v>100</v>
      </c>
      <c r="BU123" s="108">
        <v>20</v>
      </c>
      <c r="BV123" s="2"/>
      <c r="BW123" s="3"/>
      <c r="BX123" s="3"/>
      <c r="BY123" s="3"/>
      <c r="BZ123" s="3"/>
    </row>
    <row r="124" spans="1:78" ht="41.45" customHeight="1">
      <c r="A124" s="65" t="s">
        <v>394</v>
      </c>
      <c r="C124" s="66"/>
      <c r="D124" s="66" t="s">
        <v>64</v>
      </c>
      <c r="E124" s="67">
        <v>162.00807241087415</v>
      </c>
      <c r="F124" s="69"/>
      <c r="G124" s="103" t="str">
        <f>HYPERLINK("https://pbs.twimg.com/profile_images/47681702/DSC04452n_normal.JPG")</f>
        <v>https://pbs.twimg.com/profile_images/47681702/DSC04452n_normal.JPG</v>
      </c>
      <c r="H124" s="66"/>
      <c r="I124" s="70" t="s">
        <v>394</v>
      </c>
      <c r="J124" s="71"/>
      <c r="K124" s="71"/>
      <c r="L124" s="70" t="s">
        <v>1722</v>
      </c>
      <c r="M124" s="74">
        <v>1.0061757735854417</v>
      </c>
      <c r="N124" s="75">
        <v>3666.300048828125</v>
      </c>
      <c r="O124" s="75">
        <v>785.2617797851562</v>
      </c>
      <c r="P124" s="76"/>
      <c r="Q124" s="77"/>
      <c r="R124" s="77"/>
      <c r="S124" s="89"/>
      <c r="T124" s="49">
        <v>2</v>
      </c>
      <c r="U124" s="49">
        <v>0</v>
      </c>
      <c r="V124" s="50">
        <v>0</v>
      </c>
      <c r="W124" s="50">
        <v>0.033333</v>
      </c>
      <c r="X124" s="50">
        <v>0</v>
      </c>
      <c r="Y124" s="50">
        <v>0.557394</v>
      </c>
      <c r="Z124" s="50">
        <v>0.5</v>
      </c>
      <c r="AA124" s="50">
        <v>0</v>
      </c>
      <c r="AB124" s="72">
        <v>124</v>
      </c>
      <c r="AC124" s="72"/>
      <c r="AD124" s="73"/>
      <c r="AE124" s="79" t="s">
        <v>394</v>
      </c>
      <c r="AF124" s="88" t="s">
        <v>1293</v>
      </c>
      <c r="AG124" s="79">
        <v>14</v>
      </c>
      <c r="AH124" s="79">
        <v>16</v>
      </c>
      <c r="AI124" s="79">
        <v>28</v>
      </c>
      <c r="AJ124" s="79">
        <v>0</v>
      </c>
      <c r="AK124" s="79"/>
      <c r="AL124" s="79"/>
      <c r="AM124" s="79" t="s">
        <v>1571</v>
      </c>
      <c r="AN124" s="79"/>
      <c r="AO124" s="79"/>
      <c r="AP124" s="81">
        <v>39483.569502314815</v>
      </c>
      <c r="AQ124" s="79"/>
      <c r="AR124" s="79" t="b">
        <v>0</v>
      </c>
      <c r="AS124" s="79" t="b">
        <v>0</v>
      </c>
      <c r="AT124" s="79" t="b">
        <v>0</v>
      </c>
      <c r="AU124" s="79"/>
      <c r="AV124" s="79">
        <v>0</v>
      </c>
      <c r="AW124" s="84" t="str">
        <f>HYPERLINK("https://abs.twimg.com/images/themes/theme13/bg.gif")</f>
        <v>https://abs.twimg.com/images/themes/theme13/bg.gif</v>
      </c>
      <c r="AX124" s="79" t="b">
        <v>0</v>
      </c>
      <c r="AY124" s="79" t="s">
        <v>1601</v>
      </c>
      <c r="AZ124" s="84" t="str">
        <f>HYPERLINK("https://twitter.com/anuga")</f>
        <v>https://twitter.com/anuga</v>
      </c>
      <c r="BA124" s="79" t="s">
        <v>65</v>
      </c>
      <c r="BB124" s="79" t="str">
        <f>REPLACE(INDEX(GroupVertices[Group],MATCH(Vertices[[#This Row],[Vertex]],GroupVertices[Vertex],0)),1,1,"")</f>
        <v>4</v>
      </c>
      <c r="BC124" s="49"/>
      <c r="BD124" s="49"/>
      <c r="BE124" s="49"/>
      <c r="BF124" s="49"/>
      <c r="BG124" s="49"/>
      <c r="BH124" s="49"/>
      <c r="BI124" s="49"/>
      <c r="BJ124" s="49"/>
      <c r="BK124" s="49"/>
      <c r="BL124" s="49"/>
      <c r="BM124" s="49"/>
      <c r="BN124" s="50"/>
      <c r="BO124" s="49"/>
      <c r="BP124" s="50"/>
      <c r="BQ124" s="49"/>
      <c r="BR124" s="50"/>
      <c r="BS124" s="49"/>
      <c r="BT124" s="50"/>
      <c r="BU124" s="49"/>
      <c r="BV124" s="2"/>
      <c r="BW124" s="3"/>
      <c r="BX124" s="3"/>
      <c r="BY124" s="3"/>
      <c r="BZ124" s="3"/>
    </row>
    <row r="125" spans="1:78" ht="41.45" customHeight="1">
      <c r="A125" s="65" t="s">
        <v>317</v>
      </c>
      <c r="C125" s="66"/>
      <c r="D125" s="66" t="s">
        <v>64</v>
      </c>
      <c r="E125" s="67">
        <v>163.87633100256116</v>
      </c>
      <c r="F125" s="69"/>
      <c r="G125" s="103" t="str">
        <f>HYPERLINK("https://pbs.twimg.com/profile_images/2709275057/94a5687e696c0e4af3c330f666bdc384_normal.jpeg")</f>
        <v>https://pbs.twimg.com/profile_images/2709275057/94a5687e696c0e4af3c330f666bdc384_normal.jpeg</v>
      </c>
      <c r="H125" s="66"/>
      <c r="I125" s="70" t="s">
        <v>317</v>
      </c>
      <c r="J125" s="71"/>
      <c r="K125" s="71"/>
      <c r="L125" s="70" t="s">
        <v>1723</v>
      </c>
      <c r="M125" s="74">
        <v>2.435481372766123</v>
      </c>
      <c r="N125" s="75">
        <v>3954.744873046875</v>
      </c>
      <c r="O125" s="75">
        <v>1862.041015625</v>
      </c>
      <c r="P125" s="76"/>
      <c r="Q125" s="77"/>
      <c r="R125" s="77"/>
      <c r="S125" s="89"/>
      <c r="T125" s="49">
        <v>0</v>
      </c>
      <c r="U125" s="49">
        <v>4</v>
      </c>
      <c r="V125" s="50">
        <v>10</v>
      </c>
      <c r="W125" s="50">
        <v>0.05</v>
      </c>
      <c r="X125" s="50">
        <v>0</v>
      </c>
      <c r="Y125" s="50">
        <v>0.958574</v>
      </c>
      <c r="Z125" s="50">
        <v>0.3333333333333333</v>
      </c>
      <c r="AA125" s="50">
        <v>0</v>
      </c>
      <c r="AB125" s="72">
        <v>125</v>
      </c>
      <c r="AC125" s="72"/>
      <c r="AD125" s="73"/>
      <c r="AE125" s="79" t="s">
        <v>1132</v>
      </c>
      <c r="AF125" s="88" t="s">
        <v>1294</v>
      </c>
      <c r="AG125" s="79">
        <v>4038</v>
      </c>
      <c r="AH125" s="79">
        <v>3719</v>
      </c>
      <c r="AI125" s="79">
        <v>8342</v>
      </c>
      <c r="AJ125" s="79">
        <v>108</v>
      </c>
      <c r="AK125" s="79"/>
      <c r="AL125" s="79" t="s">
        <v>1454</v>
      </c>
      <c r="AM125" s="79" t="s">
        <v>1572</v>
      </c>
      <c r="AN125" s="84" t="str">
        <f>HYPERLINK("http://t.co/qM8aDxlXIT")</f>
        <v>http://t.co/qM8aDxlXIT</v>
      </c>
      <c r="AO125" s="79"/>
      <c r="AP125" s="81">
        <v>40003.789976851855</v>
      </c>
      <c r="AQ125" s="84" t="str">
        <f>HYPERLINK("https://pbs.twimg.com/profile_banners/55325773/1401379551")</f>
        <v>https://pbs.twimg.com/profile_banners/55325773/1401379551</v>
      </c>
      <c r="AR125" s="79" t="b">
        <v>0</v>
      </c>
      <c r="AS125" s="79" t="b">
        <v>0</v>
      </c>
      <c r="AT125" s="79" t="b">
        <v>1</v>
      </c>
      <c r="AU125" s="79"/>
      <c r="AV125" s="79">
        <v>206</v>
      </c>
      <c r="AW125" s="84" t="str">
        <f>HYPERLINK("https://abs.twimg.com/images/themes/theme13/bg.gif")</f>
        <v>https://abs.twimg.com/images/themes/theme13/bg.gif</v>
      </c>
      <c r="AX125" s="79" t="b">
        <v>0</v>
      </c>
      <c r="AY125" s="79" t="s">
        <v>1601</v>
      </c>
      <c r="AZ125" s="84" t="str">
        <f>HYPERLINK("https://twitter.com/philliprussopov")</f>
        <v>https://twitter.com/philliprussopov</v>
      </c>
      <c r="BA125" s="79" t="s">
        <v>66</v>
      </c>
      <c r="BB125" s="79" t="str">
        <f>REPLACE(INDEX(GroupVertices[Group],MATCH(Vertices[[#This Row],[Vertex]],GroupVertices[Vertex],0)),1,1,"")</f>
        <v>4</v>
      </c>
      <c r="BC125" s="49" t="s">
        <v>1822</v>
      </c>
      <c r="BD125" s="49" t="s">
        <v>1822</v>
      </c>
      <c r="BE125" s="49" t="s">
        <v>532</v>
      </c>
      <c r="BF125" s="49" t="s">
        <v>532</v>
      </c>
      <c r="BG125" s="49"/>
      <c r="BH125" s="49"/>
      <c r="BI125" s="108" t="s">
        <v>2320</v>
      </c>
      <c r="BJ125" s="108" t="s">
        <v>2320</v>
      </c>
      <c r="BK125" s="108" t="s">
        <v>2388</v>
      </c>
      <c r="BL125" s="108" t="s">
        <v>2388</v>
      </c>
      <c r="BM125" s="108">
        <v>0</v>
      </c>
      <c r="BN125" s="111">
        <v>0</v>
      </c>
      <c r="BO125" s="108">
        <v>0</v>
      </c>
      <c r="BP125" s="111">
        <v>0</v>
      </c>
      <c r="BQ125" s="108">
        <v>0</v>
      </c>
      <c r="BR125" s="111">
        <v>0</v>
      </c>
      <c r="BS125" s="108">
        <v>20</v>
      </c>
      <c r="BT125" s="111">
        <v>100</v>
      </c>
      <c r="BU125" s="108">
        <v>20</v>
      </c>
      <c r="BV125" s="2"/>
      <c r="BW125" s="3"/>
      <c r="BX125" s="3"/>
      <c r="BY125" s="3"/>
      <c r="BZ125" s="3"/>
    </row>
    <row r="126" spans="1:78" ht="41.45" customHeight="1">
      <c r="A126" s="65" t="s">
        <v>318</v>
      </c>
      <c r="C126" s="66"/>
      <c r="D126" s="66" t="s">
        <v>64</v>
      </c>
      <c r="E126" s="67">
        <v>162.07618337762483</v>
      </c>
      <c r="F126" s="69"/>
      <c r="G126" s="103" t="str">
        <f>HYPERLINK("https://pbs.twimg.com/profile_images/1423802267937951745/MvyxLuiA_normal.jpg")</f>
        <v>https://pbs.twimg.com/profile_images/1423802267937951745/MvyxLuiA_normal.jpg</v>
      </c>
      <c r="H126" s="66"/>
      <c r="I126" s="70" t="s">
        <v>318</v>
      </c>
      <c r="J126" s="71"/>
      <c r="K126" s="71"/>
      <c r="L126" s="70" t="s">
        <v>1724</v>
      </c>
      <c r="M126" s="74">
        <v>1.0582838632126068</v>
      </c>
      <c r="N126" s="75">
        <v>5762.95166015625</v>
      </c>
      <c r="O126" s="75">
        <v>4371.29052734375</v>
      </c>
      <c r="P126" s="76"/>
      <c r="Q126" s="77"/>
      <c r="R126" s="77"/>
      <c r="S126" s="89"/>
      <c r="T126" s="49">
        <v>0</v>
      </c>
      <c r="U126" s="49">
        <v>1</v>
      </c>
      <c r="V126" s="50">
        <v>0</v>
      </c>
      <c r="W126" s="50">
        <v>0.111111</v>
      </c>
      <c r="X126" s="50">
        <v>0</v>
      </c>
      <c r="Y126" s="50">
        <v>0.585364</v>
      </c>
      <c r="Z126" s="50">
        <v>0</v>
      </c>
      <c r="AA126" s="50">
        <v>0</v>
      </c>
      <c r="AB126" s="72">
        <v>126</v>
      </c>
      <c r="AC126" s="72"/>
      <c r="AD126" s="73"/>
      <c r="AE126" s="79" t="s">
        <v>1133</v>
      </c>
      <c r="AF126" s="88" t="s">
        <v>1295</v>
      </c>
      <c r="AG126" s="79">
        <v>365</v>
      </c>
      <c r="AH126" s="79">
        <v>151</v>
      </c>
      <c r="AI126" s="79">
        <v>655</v>
      </c>
      <c r="AJ126" s="79">
        <v>3708</v>
      </c>
      <c r="AK126" s="79"/>
      <c r="AL126" s="79" t="s">
        <v>1455</v>
      </c>
      <c r="AM126" s="79"/>
      <c r="AN126" s="79"/>
      <c r="AO126" s="79"/>
      <c r="AP126" s="81">
        <v>44415.017222222225</v>
      </c>
      <c r="AQ126" s="79"/>
      <c r="AR126" s="79" t="b">
        <v>1</v>
      </c>
      <c r="AS126" s="79" t="b">
        <v>0</v>
      </c>
      <c r="AT126" s="79" t="b">
        <v>0</v>
      </c>
      <c r="AU126" s="79"/>
      <c r="AV126" s="79">
        <v>0</v>
      </c>
      <c r="AW126" s="79"/>
      <c r="AX126" s="79" t="b">
        <v>0</v>
      </c>
      <c r="AY126" s="79" t="s">
        <v>1601</v>
      </c>
      <c r="AZ126" s="84" t="str">
        <f>HYPERLINK("https://twitter.com/rabigo369")</f>
        <v>https://twitter.com/rabigo369</v>
      </c>
      <c r="BA126" s="79" t="s">
        <v>66</v>
      </c>
      <c r="BB126" s="79" t="str">
        <f>REPLACE(INDEX(GroupVertices[Group],MATCH(Vertices[[#This Row],[Vertex]],GroupVertices[Vertex],0)),1,1,"")</f>
        <v>7</v>
      </c>
      <c r="BC126" s="49" t="s">
        <v>1827</v>
      </c>
      <c r="BD126" s="49" t="s">
        <v>1827</v>
      </c>
      <c r="BE126" s="49" t="s">
        <v>519</v>
      </c>
      <c r="BF126" s="49" t="s">
        <v>519</v>
      </c>
      <c r="BG126" s="49" t="s">
        <v>549</v>
      </c>
      <c r="BH126" s="49" t="s">
        <v>549</v>
      </c>
      <c r="BI126" s="108" t="s">
        <v>2287</v>
      </c>
      <c r="BJ126" s="108" t="s">
        <v>2287</v>
      </c>
      <c r="BK126" s="108" t="s">
        <v>2157</v>
      </c>
      <c r="BL126" s="108" t="s">
        <v>2157</v>
      </c>
      <c r="BM126" s="108">
        <v>0</v>
      </c>
      <c r="BN126" s="111">
        <v>0</v>
      </c>
      <c r="BO126" s="108">
        <v>0</v>
      </c>
      <c r="BP126" s="111">
        <v>0</v>
      </c>
      <c r="BQ126" s="108">
        <v>0</v>
      </c>
      <c r="BR126" s="111">
        <v>0</v>
      </c>
      <c r="BS126" s="108">
        <v>34</v>
      </c>
      <c r="BT126" s="111">
        <v>100</v>
      </c>
      <c r="BU126" s="108">
        <v>34</v>
      </c>
      <c r="BV126" s="2"/>
      <c r="BW126" s="3"/>
      <c r="BX126" s="3"/>
      <c r="BY126" s="3"/>
      <c r="BZ126" s="3"/>
    </row>
    <row r="127" spans="1:78" ht="41.45" customHeight="1">
      <c r="A127" s="65" t="s">
        <v>320</v>
      </c>
      <c r="C127" s="66"/>
      <c r="D127" s="66" t="s">
        <v>64</v>
      </c>
      <c r="E127" s="67">
        <v>162.09081462233422</v>
      </c>
      <c r="F127" s="69"/>
      <c r="G127" s="103" t="str">
        <f>HYPERLINK("https://pbs.twimg.com/profile_images/1195955022196101120/ETMR2hp4_normal.jpg")</f>
        <v>https://pbs.twimg.com/profile_images/1195955022196101120/ETMR2hp4_normal.jpg</v>
      </c>
      <c r="H127" s="66"/>
      <c r="I127" s="70" t="s">
        <v>320</v>
      </c>
      <c r="J127" s="71"/>
      <c r="K127" s="71"/>
      <c r="L127" s="70" t="s">
        <v>1725</v>
      </c>
      <c r="M127" s="74">
        <v>1.06947745283622</v>
      </c>
      <c r="N127" s="75">
        <v>5629.05126953125</v>
      </c>
      <c r="O127" s="75">
        <v>2774.591552734375</v>
      </c>
      <c r="P127" s="76"/>
      <c r="Q127" s="77"/>
      <c r="R127" s="77"/>
      <c r="S127" s="89"/>
      <c r="T127" s="49">
        <v>0</v>
      </c>
      <c r="U127" s="49">
        <v>1</v>
      </c>
      <c r="V127" s="50">
        <v>0</v>
      </c>
      <c r="W127" s="50">
        <v>0.111111</v>
      </c>
      <c r="X127" s="50">
        <v>0</v>
      </c>
      <c r="Y127" s="50">
        <v>0.585364</v>
      </c>
      <c r="Z127" s="50">
        <v>0</v>
      </c>
      <c r="AA127" s="50">
        <v>0</v>
      </c>
      <c r="AB127" s="72">
        <v>127</v>
      </c>
      <c r="AC127" s="72"/>
      <c r="AD127" s="73"/>
      <c r="AE127" s="79" t="s">
        <v>1134</v>
      </c>
      <c r="AF127" s="88" t="s">
        <v>1296</v>
      </c>
      <c r="AG127" s="79">
        <v>337</v>
      </c>
      <c r="AH127" s="79">
        <v>180</v>
      </c>
      <c r="AI127" s="79">
        <v>961</v>
      </c>
      <c r="AJ127" s="79">
        <v>1644</v>
      </c>
      <c r="AK127" s="79"/>
      <c r="AL127" s="79" t="s">
        <v>1456</v>
      </c>
      <c r="AM127" s="79" t="s">
        <v>1573</v>
      </c>
      <c r="AN127" s="84" t="str">
        <f>HYPERLINK("https://t.co/P5ZiKJAlY6")</f>
        <v>https://t.co/P5ZiKJAlY6</v>
      </c>
      <c r="AO127" s="79"/>
      <c r="AP127" s="81">
        <v>43258.33193287037</v>
      </c>
      <c r="AQ127" s="84" t="str">
        <f>HYPERLINK("https://pbs.twimg.com/profile_banners/1004633556965117952/1576149007")</f>
        <v>https://pbs.twimg.com/profile_banners/1004633556965117952/1576149007</v>
      </c>
      <c r="AR127" s="79" t="b">
        <v>0</v>
      </c>
      <c r="AS127" s="79" t="b">
        <v>0</v>
      </c>
      <c r="AT127" s="79" t="b">
        <v>0</v>
      </c>
      <c r="AU127" s="79"/>
      <c r="AV127" s="79">
        <v>0</v>
      </c>
      <c r="AW127" s="84" t="str">
        <f>HYPERLINK("https://abs.twimg.com/images/themes/theme1/bg.png")</f>
        <v>https://abs.twimg.com/images/themes/theme1/bg.png</v>
      </c>
      <c r="AX127" s="79" t="b">
        <v>0</v>
      </c>
      <c r="AY127" s="79" t="s">
        <v>1601</v>
      </c>
      <c r="AZ127" s="84" t="str">
        <f>HYPERLINK("https://twitter.com/oracleatmushin")</f>
        <v>https://twitter.com/oracleatmushin</v>
      </c>
      <c r="BA127" s="79" t="s">
        <v>66</v>
      </c>
      <c r="BB127" s="79" t="str">
        <f>REPLACE(INDEX(GroupVertices[Group],MATCH(Vertices[[#This Row],[Vertex]],GroupVertices[Vertex],0)),1,1,"")</f>
        <v>7</v>
      </c>
      <c r="BC127" s="49" t="s">
        <v>1827</v>
      </c>
      <c r="BD127" s="49" t="s">
        <v>1827</v>
      </c>
      <c r="BE127" s="49" t="s">
        <v>519</v>
      </c>
      <c r="BF127" s="49" t="s">
        <v>519</v>
      </c>
      <c r="BG127" s="49" t="s">
        <v>549</v>
      </c>
      <c r="BH127" s="49" t="s">
        <v>549</v>
      </c>
      <c r="BI127" s="108" t="s">
        <v>2287</v>
      </c>
      <c r="BJ127" s="108" t="s">
        <v>2287</v>
      </c>
      <c r="BK127" s="108" t="s">
        <v>2157</v>
      </c>
      <c r="BL127" s="108" t="s">
        <v>2157</v>
      </c>
      <c r="BM127" s="108">
        <v>0</v>
      </c>
      <c r="BN127" s="111">
        <v>0</v>
      </c>
      <c r="BO127" s="108">
        <v>0</v>
      </c>
      <c r="BP127" s="111">
        <v>0</v>
      </c>
      <c r="BQ127" s="108">
        <v>0</v>
      </c>
      <c r="BR127" s="111">
        <v>0</v>
      </c>
      <c r="BS127" s="108">
        <v>34</v>
      </c>
      <c r="BT127" s="111">
        <v>100</v>
      </c>
      <c r="BU127" s="108">
        <v>34</v>
      </c>
      <c r="BV127" s="2"/>
      <c r="BW127" s="3"/>
      <c r="BX127" s="3"/>
      <c r="BY127" s="3"/>
      <c r="BZ127" s="3"/>
    </row>
    <row r="128" spans="1:78" ht="41.45" customHeight="1">
      <c r="A128" s="65" t="s">
        <v>321</v>
      </c>
      <c r="C128" s="66"/>
      <c r="D128" s="66" t="s">
        <v>64</v>
      </c>
      <c r="E128" s="67">
        <v>162.12562689422901</v>
      </c>
      <c r="F128" s="69"/>
      <c r="G128" s="103" t="str">
        <f>HYPERLINK("https://abs.twimg.com/sticky/default_profile_images/default_profile_normal.png")</f>
        <v>https://abs.twimg.com/sticky/default_profile_images/default_profile_normal.png</v>
      </c>
      <c r="H128" s="66"/>
      <c r="I128" s="70" t="s">
        <v>321</v>
      </c>
      <c r="J128" s="71"/>
      <c r="K128" s="71"/>
      <c r="L128" s="70" t="s">
        <v>1726</v>
      </c>
      <c r="M128" s="74">
        <v>1.0961104764234377</v>
      </c>
      <c r="N128" s="75">
        <v>897.5286865234375</v>
      </c>
      <c r="O128" s="75">
        <v>7296.85400390625</v>
      </c>
      <c r="P128" s="76"/>
      <c r="Q128" s="77"/>
      <c r="R128" s="77"/>
      <c r="S128" s="89"/>
      <c r="T128" s="49">
        <v>0</v>
      </c>
      <c r="U128" s="49">
        <v>4</v>
      </c>
      <c r="V128" s="50">
        <v>0.0625</v>
      </c>
      <c r="W128" s="50">
        <v>0.007092</v>
      </c>
      <c r="X128" s="50">
        <v>0.023308</v>
      </c>
      <c r="Y128" s="50">
        <v>0.598438</v>
      </c>
      <c r="Z128" s="50">
        <v>0.4166666666666667</v>
      </c>
      <c r="AA128" s="50">
        <v>0</v>
      </c>
      <c r="AB128" s="72">
        <v>128</v>
      </c>
      <c r="AC128" s="72"/>
      <c r="AD128" s="73"/>
      <c r="AE128" s="79" t="s">
        <v>1135</v>
      </c>
      <c r="AF128" s="88" t="s">
        <v>1297</v>
      </c>
      <c r="AG128" s="79">
        <v>0</v>
      </c>
      <c r="AH128" s="79">
        <v>249</v>
      </c>
      <c r="AI128" s="79">
        <v>139554</v>
      </c>
      <c r="AJ128" s="79">
        <v>0</v>
      </c>
      <c r="AK128" s="79"/>
      <c r="AL128" s="79"/>
      <c r="AM128" s="79"/>
      <c r="AN128" s="79"/>
      <c r="AO128" s="79"/>
      <c r="AP128" s="81">
        <v>42228.860914351855</v>
      </c>
      <c r="AQ128" s="79"/>
      <c r="AR128" s="79" t="b">
        <v>1</v>
      </c>
      <c r="AS128" s="79" t="b">
        <v>1</v>
      </c>
      <c r="AT128" s="79" t="b">
        <v>0</v>
      </c>
      <c r="AU128" s="79"/>
      <c r="AV128" s="79">
        <v>28</v>
      </c>
      <c r="AW128" s="84" t="str">
        <f>HYPERLINK("https://abs.twimg.com/images/themes/theme1/bg.png")</f>
        <v>https://abs.twimg.com/images/themes/theme1/bg.png</v>
      </c>
      <c r="AX128" s="79" t="b">
        <v>0</v>
      </c>
      <c r="AY128" s="79" t="s">
        <v>1601</v>
      </c>
      <c r="AZ128" s="84" t="str">
        <f>HYPERLINK("https://twitter.com/deduped_economi")</f>
        <v>https://twitter.com/deduped_economi</v>
      </c>
      <c r="BA128" s="79" t="s">
        <v>66</v>
      </c>
      <c r="BB128" s="79" t="str">
        <f>REPLACE(INDEX(GroupVertices[Group],MATCH(Vertices[[#This Row],[Vertex]],GroupVertices[Vertex],0)),1,1,"")</f>
        <v>1</v>
      </c>
      <c r="BC128" s="49" t="s">
        <v>2245</v>
      </c>
      <c r="BD128" s="49" t="s">
        <v>2245</v>
      </c>
      <c r="BE128" s="49" t="s">
        <v>528</v>
      </c>
      <c r="BF128" s="49" t="s">
        <v>528</v>
      </c>
      <c r="BG128" s="49"/>
      <c r="BH128" s="49"/>
      <c r="BI128" s="108" t="s">
        <v>2295</v>
      </c>
      <c r="BJ128" s="108" t="s">
        <v>2295</v>
      </c>
      <c r="BK128" s="108" t="s">
        <v>2151</v>
      </c>
      <c r="BL128" s="108" t="s">
        <v>2151</v>
      </c>
      <c r="BM128" s="108">
        <v>0</v>
      </c>
      <c r="BN128" s="111">
        <v>0</v>
      </c>
      <c r="BO128" s="108">
        <v>0</v>
      </c>
      <c r="BP128" s="111">
        <v>0</v>
      </c>
      <c r="BQ128" s="108">
        <v>0</v>
      </c>
      <c r="BR128" s="111">
        <v>0</v>
      </c>
      <c r="BS128" s="108">
        <v>102</v>
      </c>
      <c r="BT128" s="111">
        <v>100</v>
      </c>
      <c r="BU128" s="108">
        <v>102</v>
      </c>
      <c r="BV128" s="2"/>
      <c r="BW128" s="3"/>
      <c r="BX128" s="3"/>
      <c r="BY128" s="3"/>
      <c r="BZ128" s="3"/>
    </row>
    <row r="129" spans="1:78" ht="41.45" customHeight="1">
      <c r="A129" s="65" t="s">
        <v>322</v>
      </c>
      <c r="C129" s="66"/>
      <c r="D129" s="66" t="s">
        <v>64</v>
      </c>
      <c r="E129" s="67">
        <v>162.11755448335487</v>
      </c>
      <c r="F129" s="69"/>
      <c r="G129" s="103" t="str">
        <f>HYPERLINK("https://abs.twimg.com/sticky/default_profile_images/default_profile_normal.png")</f>
        <v>https://abs.twimg.com/sticky/default_profile_images/default_profile_normal.png</v>
      </c>
      <c r="H129" s="66"/>
      <c r="I129" s="70" t="s">
        <v>322</v>
      </c>
      <c r="J129" s="71"/>
      <c r="K129" s="71"/>
      <c r="L129" s="70" t="s">
        <v>1727</v>
      </c>
      <c r="M129" s="74">
        <v>1.089934702837996</v>
      </c>
      <c r="N129" s="75">
        <v>1095.7874755859375</v>
      </c>
      <c r="O129" s="75">
        <v>6687.99462890625</v>
      </c>
      <c r="P129" s="76"/>
      <c r="Q129" s="77"/>
      <c r="R129" s="77"/>
      <c r="S129" s="89"/>
      <c r="T129" s="49">
        <v>0</v>
      </c>
      <c r="U129" s="49">
        <v>4</v>
      </c>
      <c r="V129" s="50">
        <v>0.0625</v>
      </c>
      <c r="W129" s="50">
        <v>0.007092</v>
      </c>
      <c r="X129" s="50">
        <v>0.023308</v>
      </c>
      <c r="Y129" s="50">
        <v>0.598438</v>
      </c>
      <c r="Z129" s="50">
        <v>0.4166666666666667</v>
      </c>
      <c r="AA129" s="50">
        <v>0</v>
      </c>
      <c r="AB129" s="72">
        <v>129</v>
      </c>
      <c r="AC129" s="72"/>
      <c r="AD129" s="73"/>
      <c r="AE129" s="79" t="s">
        <v>1136</v>
      </c>
      <c r="AF129" s="88" t="s">
        <v>1298</v>
      </c>
      <c r="AG129" s="79">
        <v>117</v>
      </c>
      <c r="AH129" s="79">
        <v>233</v>
      </c>
      <c r="AI129" s="79">
        <v>105113</v>
      </c>
      <c r="AJ129" s="79">
        <v>117539</v>
      </c>
      <c r="AK129" s="79"/>
      <c r="AL129" s="79"/>
      <c r="AM129" s="79"/>
      <c r="AN129" s="79"/>
      <c r="AO129" s="79"/>
      <c r="AP129" s="81">
        <v>42305.27140046296</v>
      </c>
      <c r="AQ129" s="79"/>
      <c r="AR129" s="79" t="b">
        <v>1</v>
      </c>
      <c r="AS129" s="79" t="b">
        <v>1</v>
      </c>
      <c r="AT129" s="79" t="b">
        <v>1</v>
      </c>
      <c r="AU129" s="79"/>
      <c r="AV129" s="79">
        <v>2</v>
      </c>
      <c r="AW129" s="84" t="str">
        <f>HYPERLINK("https://abs.twimg.com/images/themes/theme1/bg.png")</f>
        <v>https://abs.twimg.com/images/themes/theme1/bg.png</v>
      </c>
      <c r="AX129" s="79" t="b">
        <v>0</v>
      </c>
      <c r="AY129" s="79" t="s">
        <v>1601</v>
      </c>
      <c r="AZ129" s="84" t="str">
        <f>HYPERLINK("https://twitter.com/jamescounihan1")</f>
        <v>https://twitter.com/jamescounihan1</v>
      </c>
      <c r="BA129" s="79" t="s">
        <v>66</v>
      </c>
      <c r="BB129" s="79" t="str">
        <f>REPLACE(INDEX(GroupVertices[Group],MATCH(Vertices[[#This Row],[Vertex]],GroupVertices[Vertex],0)),1,1,"")</f>
        <v>1</v>
      </c>
      <c r="BC129" s="49" t="s">
        <v>1825</v>
      </c>
      <c r="BD129" s="49" t="s">
        <v>1825</v>
      </c>
      <c r="BE129" s="49" t="s">
        <v>528</v>
      </c>
      <c r="BF129" s="49" t="s">
        <v>528</v>
      </c>
      <c r="BG129" s="49"/>
      <c r="BH129" s="49"/>
      <c r="BI129" s="108" t="s">
        <v>2295</v>
      </c>
      <c r="BJ129" s="108" t="s">
        <v>2295</v>
      </c>
      <c r="BK129" s="108" t="s">
        <v>2151</v>
      </c>
      <c r="BL129" s="108" t="s">
        <v>2151</v>
      </c>
      <c r="BM129" s="108">
        <v>0</v>
      </c>
      <c r="BN129" s="111">
        <v>0</v>
      </c>
      <c r="BO129" s="108">
        <v>0</v>
      </c>
      <c r="BP129" s="111">
        <v>0</v>
      </c>
      <c r="BQ129" s="108">
        <v>0</v>
      </c>
      <c r="BR129" s="111">
        <v>0</v>
      </c>
      <c r="BS129" s="108">
        <v>34</v>
      </c>
      <c r="BT129" s="111">
        <v>100</v>
      </c>
      <c r="BU129" s="108">
        <v>34</v>
      </c>
      <c r="BV129" s="2"/>
      <c r="BW129" s="3"/>
      <c r="BX129" s="3"/>
      <c r="BY129" s="3"/>
      <c r="BZ129" s="3"/>
    </row>
    <row r="130" spans="1:78" ht="41.45" customHeight="1">
      <c r="A130" s="65" t="s">
        <v>323</v>
      </c>
      <c r="C130" s="66"/>
      <c r="D130" s="66" t="s">
        <v>64</v>
      </c>
      <c r="E130" s="67">
        <v>162.0802195830619</v>
      </c>
      <c r="F130" s="69"/>
      <c r="G130" s="103" t="str">
        <f>HYPERLINK("https://pbs.twimg.com/profile_images/1298964287449251840/K2O2_Mya_normal.jpg")</f>
        <v>https://pbs.twimg.com/profile_images/1298964287449251840/K2O2_Mya_normal.jpg</v>
      </c>
      <c r="H130" s="66"/>
      <c r="I130" s="70" t="s">
        <v>323</v>
      </c>
      <c r="J130" s="71"/>
      <c r="K130" s="71"/>
      <c r="L130" s="70" t="s">
        <v>1728</v>
      </c>
      <c r="M130" s="74">
        <v>1.0613717500053277</v>
      </c>
      <c r="N130" s="75">
        <v>1318.984375</v>
      </c>
      <c r="O130" s="75">
        <v>9116.78515625</v>
      </c>
      <c r="P130" s="76"/>
      <c r="Q130" s="77"/>
      <c r="R130" s="77"/>
      <c r="S130" s="89"/>
      <c r="T130" s="49">
        <v>0</v>
      </c>
      <c r="U130" s="49">
        <v>4</v>
      </c>
      <c r="V130" s="50">
        <v>0.0625</v>
      </c>
      <c r="W130" s="50">
        <v>0.007092</v>
      </c>
      <c r="X130" s="50">
        <v>0.023308</v>
      </c>
      <c r="Y130" s="50">
        <v>0.598438</v>
      </c>
      <c r="Z130" s="50">
        <v>0.4166666666666667</v>
      </c>
      <c r="AA130" s="50">
        <v>0</v>
      </c>
      <c r="AB130" s="72">
        <v>130</v>
      </c>
      <c r="AC130" s="72"/>
      <c r="AD130" s="73"/>
      <c r="AE130" s="79" t="s">
        <v>1137</v>
      </c>
      <c r="AF130" s="88" t="s">
        <v>1299</v>
      </c>
      <c r="AG130" s="79">
        <v>1184</v>
      </c>
      <c r="AH130" s="79">
        <v>159</v>
      </c>
      <c r="AI130" s="79">
        <v>3480</v>
      </c>
      <c r="AJ130" s="79">
        <v>36223</v>
      </c>
      <c r="AK130" s="79"/>
      <c r="AL130" s="79" t="s">
        <v>1457</v>
      </c>
      <c r="AM130" s="79" t="s">
        <v>1574</v>
      </c>
      <c r="AN130" s="79"/>
      <c r="AO130" s="79"/>
      <c r="AP130" s="81">
        <v>41837.565613425926</v>
      </c>
      <c r="AQ130" s="84" t="str">
        <f>HYPERLINK("https://pbs.twimg.com/profile_banners/2653769940/1598532195")</f>
        <v>https://pbs.twimg.com/profile_banners/2653769940/1598532195</v>
      </c>
      <c r="AR130" s="79" t="b">
        <v>0</v>
      </c>
      <c r="AS130" s="79" t="b">
        <v>0</v>
      </c>
      <c r="AT130" s="79" t="b">
        <v>1</v>
      </c>
      <c r="AU130" s="79"/>
      <c r="AV130" s="79">
        <v>1</v>
      </c>
      <c r="AW130" s="84" t="str">
        <f>HYPERLINK("https://abs.twimg.com/images/themes/theme1/bg.png")</f>
        <v>https://abs.twimg.com/images/themes/theme1/bg.png</v>
      </c>
      <c r="AX130" s="79" t="b">
        <v>0</v>
      </c>
      <c r="AY130" s="79" t="s">
        <v>1601</v>
      </c>
      <c r="AZ130" s="84" t="str">
        <f>HYPERLINK("https://twitter.com/soap0928913")</f>
        <v>https://twitter.com/soap0928913</v>
      </c>
      <c r="BA130" s="79" t="s">
        <v>66</v>
      </c>
      <c r="BB130" s="79" t="str">
        <f>REPLACE(INDEX(GroupVertices[Group],MATCH(Vertices[[#This Row],[Vertex]],GroupVertices[Vertex],0)),1,1,"")</f>
        <v>1</v>
      </c>
      <c r="BC130" s="49" t="s">
        <v>1825</v>
      </c>
      <c r="BD130" s="49" t="s">
        <v>1825</v>
      </c>
      <c r="BE130" s="49" t="s">
        <v>528</v>
      </c>
      <c r="BF130" s="49" t="s">
        <v>528</v>
      </c>
      <c r="BG130" s="49"/>
      <c r="BH130" s="49"/>
      <c r="BI130" s="108" t="s">
        <v>2295</v>
      </c>
      <c r="BJ130" s="108" t="s">
        <v>2295</v>
      </c>
      <c r="BK130" s="108" t="s">
        <v>2151</v>
      </c>
      <c r="BL130" s="108" t="s">
        <v>2151</v>
      </c>
      <c r="BM130" s="108">
        <v>0</v>
      </c>
      <c r="BN130" s="111">
        <v>0</v>
      </c>
      <c r="BO130" s="108">
        <v>0</v>
      </c>
      <c r="BP130" s="111">
        <v>0</v>
      </c>
      <c r="BQ130" s="108">
        <v>0</v>
      </c>
      <c r="BR130" s="111">
        <v>0</v>
      </c>
      <c r="BS130" s="108">
        <v>34</v>
      </c>
      <c r="BT130" s="111">
        <v>100</v>
      </c>
      <c r="BU130" s="108">
        <v>34</v>
      </c>
      <c r="BV130" s="2"/>
      <c r="BW130" s="3"/>
      <c r="BX130" s="3"/>
      <c r="BY130" s="3"/>
      <c r="BZ130" s="3"/>
    </row>
    <row r="131" spans="1:78" ht="41.45" customHeight="1">
      <c r="A131" s="65" t="s">
        <v>324</v>
      </c>
      <c r="C131" s="66"/>
      <c r="D131" s="66" t="s">
        <v>64</v>
      </c>
      <c r="E131" s="67">
        <v>162.0247217583021</v>
      </c>
      <c r="F131" s="69"/>
      <c r="G131" s="103" t="str">
        <f>HYPERLINK("https://pbs.twimg.com/profile_images/1446768416107294721/7O_VaIxM_normal.jpg")</f>
        <v>https://pbs.twimg.com/profile_images/1446768416107294721/7O_VaIxM_normal.jpg</v>
      </c>
      <c r="H131" s="66"/>
      <c r="I131" s="70" t="s">
        <v>324</v>
      </c>
      <c r="J131" s="71"/>
      <c r="K131" s="71"/>
      <c r="L131" s="70" t="s">
        <v>1729</v>
      </c>
      <c r="M131" s="74">
        <v>1.0189133066054155</v>
      </c>
      <c r="N131" s="75">
        <v>1588.1964111328125</v>
      </c>
      <c r="O131" s="75">
        <v>6574.0322265625</v>
      </c>
      <c r="P131" s="76"/>
      <c r="Q131" s="77"/>
      <c r="R131" s="77"/>
      <c r="S131" s="89"/>
      <c r="T131" s="49">
        <v>0</v>
      </c>
      <c r="U131" s="49">
        <v>4</v>
      </c>
      <c r="V131" s="50">
        <v>0.0625</v>
      </c>
      <c r="W131" s="50">
        <v>0.007092</v>
      </c>
      <c r="X131" s="50">
        <v>0.023308</v>
      </c>
      <c r="Y131" s="50">
        <v>0.598438</v>
      </c>
      <c r="Z131" s="50">
        <v>0.4166666666666667</v>
      </c>
      <c r="AA131" s="50">
        <v>0</v>
      </c>
      <c r="AB131" s="72">
        <v>131</v>
      </c>
      <c r="AC131" s="72"/>
      <c r="AD131" s="73"/>
      <c r="AE131" s="79" t="s">
        <v>1138</v>
      </c>
      <c r="AF131" s="88" t="s">
        <v>1300</v>
      </c>
      <c r="AG131" s="79">
        <v>20</v>
      </c>
      <c r="AH131" s="79">
        <v>49</v>
      </c>
      <c r="AI131" s="79">
        <v>12178</v>
      </c>
      <c r="AJ131" s="79">
        <v>14108</v>
      </c>
      <c r="AK131" s="79"/>
      <c r="AL131" s="79" t="s">
        <v>1458</v>
      </c>
      <c r="AM131" s="79"/>
      <c r="AN131" s="79"/>
      <c r="AO131" s="79"/>
      <c r="AP131" s="81">
        <v>44404.415034722224</v>
      </c>
      <c r="AQ131" s="84" t="str">
        <f>HYPERLINK("https://pbs.twimg.com/profile_banners/1419960121405239299/1633776646")</f>
        <v>https://pbs.twimg.com/profile_banners/1419960121405239299/1633776646</v>
      </c>
      <c r="AR131" s="79" t="b">
        <v>1</v>
      </c>
      <c r="AS131" s="79" t="b">
        <v>0</v>
      </c>
      <c r="AT131" s="79" t="b">
        <v>0</v>
      </c>
      <c r="AU131" s="79"/>
      <c r="AV131" s="79">
        <v>0</v>
      </c>
      <c r="AW131" s="79"/>
      <c r="AX131" s="79" t="b">
        <v>0</v>
      </c>
      <c r="AY131" s="79" t="s">
        <v>1601</v>
      </c>
      <c r="AZ131" s="84" t="str">
        <f>HYPERLINK("https://twitter.com/parvez_offi")</f>
        <v>https://twitter.com/parvez_offi</v>
      </c>
      <c r="BA131" s="79" t="s">
        <v>66</v>
      </c>
      <c r="BB131" s="79" t="str">
        <f>REPLACE(INDEX(GroupVertices[Group],MATCH(Vertices[[#This Row],[Vertex]],GroupVertices[Vertex],0)),1,1,"")</f>
        <v>1</v>
      </c>
      <c r="BC131" s="49" t="s">
        <v>2245</v>
      </c>
      <c r="BD131" s="49" t="s">
        <v>2245</v>
      </c>
      <c r="BE131" s="49" t="s">
        <v>528</v>
      </c>
      <c r="BF131" s="49" t="s">
        <v>528</v>
      </c>
      <c r="BG131" s="49"/>
      <c r="BH131" s="49"/>
      <c r="BI131" s="108" t="s">
        <v>2295</v>
      </c>
      <c r="BJ131" s="108" t="s">
        <v>2295</v>
      </c>
      <c r="BK131" s="108" t="s">
        <v>2151</v>
      </c>
      <c r="BL131" s="108" t="s">
        <v>2151</v>
      </c>
      <c r="BM131" s="108">
        <v>0</v>
      </c>
      <c r="BN131" s="111">
        <v>0</v>
      </c>
      <c r="BO131" s="108">
        <v>0</v>
      </c>
      <c r="BP131" s="111">
        <v>0</v>
      </c>
      <c r="BQ131" s="108">
        <v>0</v>
      </c>
      <c r="BR131" s="111">
        <v>0</v>
      </c>
      <c r="BS131" s="108">
        <v>102</v>
      </c>
      <c r="BT131" s="111">
        <v>100</v>
      </c>
      <c r="BU131" s="108">
        <v>102</v>
      </c>
      <c r="BV131" s="2"/>
      <c r="BW131" s="3"/>
      <c r="BX131" s="3"/>
      <c r="BY131" s="3"/>
      <c r="BZ131" s="3"/>
    </row>
    <row r="132" spans="1:78" ht="41.45" customHeight="1">
      <c r="A132" s="65" t="s">
        <v>325</v>
      </c>
      <c r="C132" s="66"/>
      <c r="D132" s="66" t="s">
        <v>64</v>
      </c>
      <c r="E132" s="67">
        <v>162.10847302112145</v>
      </c>
      <c r="F132" s="69"/>
      <c r="G132" s="103" t="str">
        <f>HYPERLINK("https://pbs.twimg.com/profile_images/1349481526006788098/7jHlAj8V_normal.jpg")</f>
        <v>https://pbs.twimg.com/profile_images/1349481526006788098/7jHlAj8V_normal.jpg</v>
      </c>
      <c r="H132" s="66"/>
      <c r="I132" s="70" t="s">
        <v>325</v>
      </c>
      <c r="J132" s="71"/>
      <c r="K132" s="71"/>
      <c r="L132" s="70" t="s">
        <v>1730</v>
      </c>
      <c r="M132" s="74">
        <v>1.0829869575543738</v>
      </c>
      <c r="N132" s="75">
        <v>2559.22216796875</v>
      </c>
      <c r="O132" s="75">
        <v>6944.8115234375</v>
      </c>
      <c r="P132" s="76"/>
      <c r="Q132" s="77"/>
      <c r="R132" s="77"/>
      <c r="S132" s="89"/>
      <c r="T132" s="49">
        <v>0</v>
      </c>
      <c r="U132" s="49">
        <v>4</v>
      </c>
      <c r="V132" s="50">
        <v>0.0625</v>
      </c>
      <c r="W132" s="50">
        <v>0.007092</v>
      </c>
      <c r="X132" s="50">
        <v>0.023308</v>
      </c>
      <c r="Y132" s="50">
        <v>0.598438</v>
      </c>
      <c r="Z132" s="50">
        <v>0.4166666666666667</v>
      </c>
      <c r="AA132" s="50">
        <v>0</v>
      </c>
      <c r="AB132" s="72">
        <v>132</v>
      </c>
      <c r="AC132" s="72"/>
      <c r="AD132" s="73"/>
      <c r="AE132" s="79" t="s">
        <v>1139</v>
      </c>
      <c r="AF132" s="88" t="s">
        <v>1301</v>
      </c>
      <c r="AG132" s="79">
        <v>619</v>
      </c>
      <c r="AH132" s="79">
        <v>215</v>
      </c>
      <c r="AI132" s="79">
        <v>10187</v>
      </c>
      <c r="AJ132" s="79">
        <v>30558</v>
      </c>
      <c r="AK132" s="79"/>
      <c r="AL132" s="79" t="s">
        <v>1459</v>
      </c>
      <c r="AM132" s="79"/>
      <c r="AN132" s="79"/>
      <c r="AO132" s="79"/>
      <c r="AP132" s="81">
        <v>44209.92949074074</v>
      </c>
      <c r="AQ132" s="79"/>
      <c r="AR132" s="79" t="b">
        <v>1</v>
      </c>
      <c r="AS132" s="79" t="b">
        <v>0</v>
      </c>
      <c r="AT132" s="79" t="b">
        <v>0</v>
      </c>
      <c r="AU132" s="79"/>
      <c r="AV132" s="79">
        <v>0</v>
      </c>
      <c r="AW132" s="79"/>
      <c r="AX132" s="79" t="b">
        <v>0</v>
      </c>
      <c r="AY132" s="79" t="s">
        <v>1601</v>
      </c>
      <c r="AZ132" s="84" t="str">
        <f>HYPERLINK("https://twitter.com/monluz2")</f>
        <v>https://twitter.com/monluz2</v>
      </c>
      <c r="BA132" s="79" t="s">
        <v>66</v>
      </c>
      <c r="BB132" s="79" t="str">
        <f>REPLACE(INDEX(GroupVertices[Group],MATCH(Vertices[[#This Row],[Vertex]],GroupVertices[Vertex],0)),1,1,"")</f>
        <v>1</v>
      </c>
      <c r="BC132" s="49" t="s">
        <v>1825</v>
      </c>
      <c r="BD132" s="49" t="s">
        <v>1825</v>
      </c>
      <c r="BE132" s="49" t="s">
        <v>528</v>
      </c>
      <c r="BF132" s="49" t="s">
        <v>528</v>
      </c>
      <c r="BG132" s="49"/>
      <c r="BH132" s="49"/>
      <c r="BI132" s="108" t="s">
        <v>2295</v>
      </c>
      <c r="BJ132" s="108" t="s">
        <v>2295</v>
      </c>
      <c r="BK132" s="108" t="s">
        <v>2151</v>
      </c>
      <c r="BL132" s="108" t="s">
        <v>2151</v>
      </c>
      <c r="BM132" s="108">
        <v>0</v>
      </c>
      <c r="BN132" s="111">
        <v>0</v>
      </c>
      <c r="BO132" s="108">
        <v>0</v>
      </c>
      <c r="BP132" s="111">
        <v>0</v>
      </c>
      <c r="BQ132" s="108">
        <v>0</v>
      </c>
      <c r="BR132" s="111">
        <v>0</v>
      </c>
      <c r="BS132" s="108">
        <v>34</v>
      </c>
      <c r="BT132" s="111">
        <v>100</v>
      </c>
      <c r="BU132" s="108">
        <v>34</v>
      </c>
      <c r="BV132" s="2"/>
      <c r="BW132" s="3"/>
      <c r="BX132" s="3"/>
      <c r="BY132" s="3"/>
      <c r="BZ132" s="3"/>
    </row>
    <row r="133" spans="1:78" ht="41.45" customHeight="1">
      <c r="A133" s="65" t="s">
        <v>326</v>
      </c>
      <c r="C133" s="66"/>
      <c r="D133" s="66" t="s">
        <v>64</v>
      </c>
      <c r="E133" s="67">
        <v>162.10948207248072</v>
      </c>
      <c r="F133" s="69"/>
      <c r="G133" s="103" t="str">
        <f>HYPERLINK("https://pbs.twimg.com/profile_images/1365150290786181121/VnLvLg_n_normal.jpg")</f>
        <v>https://pbs.twimg.com/profile_images/1365150290786181121/VnLvLg_n_normal.jpg</v>
      </c>
      <c r="H133" s="66"/>
      <c r="I133" s="70" t="s">
        <v>326</v>
      </c>
      <c r="J133" s="71"/>
      <c r="K133" s="71"/>
      <c r="L133" s="70" t="s">
        <v>1731</v>
      </c>
      <c r="M133" s="74">
        <v>1.083758929252554</v>
      </c>
      <c r="N133" s="75">
        <v>909.8914184570312</v>
      </c>
      <c r="O133" s="75">
        <v>7983.4482421875</v>
      </c>
      <c r="P133" s="76"/>
      <c r="Q133" s="77"/>
      <c r="R133" s="77"/>
      <c r="S133" s="89"/>
      <c r="T133" s="49">
        <v>0</v>
      </c>
      <c r="U133" s="49">
        <v>4</v>
      </c>
      <c r="V133" s="50">
        <v>0.0625</v>
      </c>
      <c r="W133" s="50">
        <v>0.007092</v>
      </c>
      <c r="X133" s="50">
        <v>0.023308</v>
      </c>
      <c r="Y133" s="50">
        <v>0.598438</v>
      </c>
      <c r="Z133" s="50">
        <v>0.4166666666666667</v>
      </c>
      <c r="AA133" s="50">
        <v>0</v>
      </c>
      <c r="AB133" s="72">
        <v>133</v>
      </c>
      <c r="AC133" s="72"/>
      <c r="AD133" s="73"/>
      <c r="AE133" s="79" t="s">
        <v>326</v>
      </c>
      <c r="AF133" s="88" t="s">
        <v>1302</v>
      </c>
      <c r="AG133" s="79">
        <v>2017</v>
      </c>
      <c r="AH133" s="79">
        <v>217</v>
      </c>
      <c r="AI133" s="79">
        <v>13121</v>
      </c>
      <c r="AJ133" s="79">
        <v>29906</v>
      </c>
      <c r="AK133" s="79"/>
      <c r="AL133" s="79" t="s">
        <v>1460</v>
      </c>
      <c r="AM133" s="79"/>
      <c r="AN133" s="79"/>
      <c r="AO133" s="79"/>
      <c r="AP133" s="81">
        <v>42468.87710648148</v>
      </c>
      <c r="AQ133" s="84" t="str">
        <f>HYPERLINK("https://pbs.twimg.com/profile_banners/718544707320733698/1566122998")</f>
        <v>https://pbs.twimg.com/profile_banners/718544707320733698/1566122998</v>
      </c>
      <c r="AR133" s="79" t="b">
        <v>0</v>
      </c>
      <c r="AS133" s="79" t="b">
        <v>0</v>
      </c>
      <c r="AT133" s="79" t="b">
        <v>0</v>
      </c>
      <c r="AU133" s="79"/>
      <c r="AV133" s="79">
        <v>3</v>
      </c>
      <c r="AW133" s="84" t="str">
        <f>HYPERLINK("https://abs.twimg.com/images/themes/theme1/bg.png")</f>
        <v>https://abs.twimg.com/images/themes/theme1/bg.png</v>
      </c>
      <c r="AX133" s="79" t="b">
        <v>0</v>
      </c>
      <c r="AY133" s="79" t="s">
        <v>1601</v>
      </c>
      <c r="AZ133" s="84" t="str">
        <f>HYPERLINK("https://twitter.com/shyshoegazer")</f>
        <v>https://twitter.com/shyshoegazer</v>
      </c>
      <c r="BA133" s="79" t="s">
        <v>66</v>
      </c>
      <c r="BB133" s="79" t="str">
        <f>REPLACE(INDEX(GroupVertices[Group],MATCH(Vertices[[#This Row],[Vertex]],GroupVertices[Vertex],0)),1,1,"")</f>
        <v>1</v>
      </c>
      <c r="BC133" s="49" t="s">
        <v>1825</v>
      </c>
      <c r="BD133" s="49" t="s">
        <v>1825</v>
      </c>
      <c r="BE133" s="49" t="s">
        <v>528</v>
      </c>
      <c r="BF133" s="49" t="s">
        <v>528</v>
      </c>
      <c r="BG133" s="49"/>
      <c r="BH133" s="49"/>
      <c r="BI133" s="108" t="s">
        <v>2295</v>
      </c>
      <c r="BJ133" s="108" t="s">
        <v>2295</v>
      </c>
      <c r="BK133" s="108" t="s">
        <v>2151</v>
      </c>
      <c r="BL133" s="108" t="s">
        <v>2151</v>
      </c>
      <c r="BM133" s="108">
        <v>0</v>
      </c>
      <c r="BN133" s="111">
        <v>0</v>
      </c>
      <c r="BO133" s="108">
        <v>0</v>
      </c>
      <c r="BP133" s="111">
        <v>0</v>
      </c>
      <c r="BQ133" s="108">
        <v>0</v>
      </c>
      <c r="BR133" s="111">
        <v>0</v>
      </c>
      <c r="BS133" s="108">
        <v>34</v>
      </c>
      <c r="BT133" s="111">
        <v>100</v>
      </c>
      <c r="BU133" s="108">
        <v>34</v>
      </c>
      <c r="BV133" s="2"/>
      <c r="BW133" s="3"/>
      <c r="BX133" s="3"/>
      <c r="BY133" s="3"/>
      <c r="BZ133" s="3"/>
    </row>
    <row r="134" spans="1:78" ht="41.45" customHeight="1">
      <c r="A134" s="65" t="s">
        <v>327</v>
      </c>
      <c r="C134" s="66"/>
      <c r="D134" s="66" t="s">
        <v>64</v>
      </c>
      <c r="E134" s="67">
        <v>167.42869631286854</v>
      </c>
      <c r="F134" s="69"/>
      <c r="G134" s="103" t="str">
        <f>HYPERLINK("https://pbs.twimg.com/profile_images/863231430712672260/weKWY1BH_normal.jpg")</f>
        <v>https://pbs.twimg.com/profile_images/863231430712672260/weKWY1BH_normal.jpg</v>
      </c>
      <c r="H134" s="66"/>
      <c r="I134" s="70" t="s">
        <v>327</v>
      </c>
      <c r="J134" s="71"/>
      <c r="K134" s="71"/>
      <c r="L134" s="70" t="s">
        <v>1732</v>
      </c>
      <c r="M134" s="74">
        <v>5.153207736209596</v>
      </c>
      <c r="N134" s="75">
        <v>1305.6859130859375</v>
      </c>
      <c r="O134" s="75">
        <v>8599.9794921875</v>
      </c>
      <c r="P134" s="76"/>
      <c r="Q134" s="77"/>
      <c r="R134" s="77"/>
      <c r="S134" s="89"/>
      <c r="T134" s="49">
        <v>0</v>
      </c>
      <c r="U134" s="49">
        <v>4</v>
      </c>
      <c r="V134" s="50">
        <v>0.0625</v>
      </c>
      <c r="W134" s="50">
        <v>0.007092</v>
      </c>
      <c r="X134" s="50">
        <v>0.023308</v>
      </c>
      <c r="Y134" s="50">
        <v>0.598438</v>
      </c>
      <c r="Z134" s="50">
        <v>0.4166666666666667</v>
      </c>
      <c r="AA134" s="50">
        <v>0</v>
      </c>
      <c r="AB134" s="72">
        <v>134</v>
      </c>
      <c r="AC134" s="72"/>
      <c r="AD134" s="73"/>
      <c r="AE134" s="79" t="s">
        <v>1140</v>
      </c>
      <c r="AF134" s="88" t="s">
        <v>1303</v>
      </c>
      <c r="AG134" s="79">
        <v>6428</v>
      </c>
      <c r="AH134" s="79">
        <v>10760</v>
      </c>
      <c r="AI134" s="79">
        <v>48864</v>
      </c>
      <c r="AJ134" s="79">
        <v>23048</v>
      </c>
      <c r="AK134" s="79"/>
      <c r="AL134" s="79" t="s">
        <v>1461</v>
      </c>
      <c r="AM134" s="79" t="s">
        <v>1559</v>
      </c>
      <c r="AN134" s="79"/>
      <c r="AO134" s="79"/>
      <c r="AP134" s="81">
        <v>41792.356354166666</v>
      </c>
      <c r="AQ134" s="84" t="str">
        <f>HYPERLINK("https://pbs.twimg.com/profile_banners/2541047887/1507974901")</f>
        <v>https://pbs.twimg.com/profile_banners/2541047887/1507974901</v>
      </c>
      <c r="AR134" s="79" t="b">
        <v>0</v>
      </c>
      <c r="AS134" s="79" t="b">
        <v>0</v>
      </c>
      <c r="AT134" s="79" t="b">
        <v>0</v>
      </c>
      <c r="AU134" s="79"/>
      <c r="AV134" s="79">
        <v>247</v>
      </c>
      <c r="AW134" s="84" t="str">
        <f>HYPERLINK("https://abs.twimg.com/images/themes/theme1/bg.png")</f>
        <v>https://abs.twimg.com/images/themes/theme1/bg.png</v>
      </c>
      <c r="AX134" s="79" t="b">
        <v>0</v>
      </c>
      <c r="AY134" s="79" t="s">
        <v>1601</v>
      </c>
      <c r="AZ134" s="84" t="str">
        <f>HYPERLINK("https://twitter.com/dd_jessica_")</f>
        <v>https://twitter.com/dd_jessica_</v>
      </c>
      <c r="BA134" s="79" t="s">
        <v>66</v>
      </c>
      <c r="BB134" s="79" t="str">
        <f>REPLACE(INDEX(GroupVertices[Group],MATCH(Vertices[[#This Row],[Vertex]],GroupVertices[Vertex],0)),1,1,"")</f>
        <v>1</v>
      </c>
      <c r="BC134" s="49" t="s">
        <v>1825</v>
      </c>
      <c r="BD134" s="49" t="s">
        <v>1825</v>
      </c>
      <c r="BE134" s="49" t="s">
        <v>528</v>
      </c>
      <c r="BF134" s="49" t="s">
        <v>528</v>
      </c>
      <c r="BG134" s="49"/>
      <c r="BH134" s="49"/>
      <c r="BI134" s="108" t="s">
        <v>2295</v>
      </c>
      <c r="BJ134" s="108" t="s">
        <v>2295</v>
      </c>
      <c r="BK134" s="108" t="s">
        <v>2151</v>
      </c>
      <c r="BL134" s="108" t="s">
        <v>2151</v>
      </c>
      <c r="BM134" s="108">
        <v>0</v>
      </c>
      <c r="BN134" s="111">
        <v>0</v>
      </c>
      <c r="BO134" s="108">
        <v>0</v>
      </c>
      <c r="BP134" s="111">
        <v>0</v>
      </c>
      <c r="BQ134" s="108">
        <v>0</v>
      </c>
      <c r="BR134" s="111">
        <v>0</v>
      </c>
      <c r="BS134" s="108">
        <v>34</v>
      </c>
      <c r="BT134" s="111">
        <v>100</v>
      </c>
      <c r="BU134" s="108">
        <v>34</v>
      </c>
      <c r="BV134" s="2"/>
      <c r="BW134" s="3"/>
      <c r="BX134" s="3"/>
      <c r="BY134" s="3"/>
      <c r="BZ134" s="3"/>
    </row>
    <row r="135" spans="1:78" ht="41.45" customHeight="1">
      <c r="A135" s="65" t="s">
        <v>329</v>
      </c>
      <c r="C135" s="66"/>
      <c r="D135" s="66" t="s">
        <v>64</v>
      </c>
      <c r="E135" s="67">
        <v>163.1659588456356</v>
      </c>
      <c r="F135" s="69"/>
      <c r="G135" s="103" t="str">
        <f>HYPERLINK("https://pbs.twimg.com/profile_images/1067102741980487680/tL2beQao_normal.jpg")</f>
        <v>https://pbs.twimg.com/profile_images/1067102741980487680/tL2beQao_normal.jpg</v>
      </c>
      <c r="H135" s="66"/>
      <c r="I135" s="70" t="s">
        <v>329</v>
      </c>
      <c r="J135" s="71"/>
      <c r="K135" s="71"/>
      <c r="L135" s="70" t="s">
        <v>1733</v>
      </c>
      <c r="M135" s="74">
        <v>1.8920132972472468</v>
      </c>
      <c r="N135" s="75">
        <v>4660.01220703125</v>
      </c>
      <c r="O135" s="75">
        <v>7315.09765625</v>
      </c>
      <c r="P135" s="76"/>
      <c r="Q135" s="77"/>
      <c r="R135" s="77"/>
      <c r="S135" s="89"/>
      <c r="T135" s="49">
        <v>2</v>
      </c>
      <c r="U135" s="49">
        <v>3</v>
      </c>
      <c r="V135" s="50">
        <v>112</v>
      </c>
      <c r="W135" s="50">
        <v>0.00625</v>
      </c>
      <c r="X135" s="50">
        <v>0.000682</v>
      </c>
      <c r="Y135" s="50">
        <v>1.189344</v>
      </c>
      <c r="Z135" s="50">
        <v>0.16666666666666666</v>
      </c>
      <c r="AA135" s="50">
        <v>0</v>
      </c>
      <c r="AB135" s="72">
        <v>135</v>
      </c>
      <c r="AC135" s="72"/>
      <c r="AD135" s="73"/>
      <c r="AE135" s="79" t="s">
        <v>329</v>
      </c>
      <c r="AF135" s="88" t="s">
        <v>964</v>
      </c>
      <c r="AG135" s="79">
        <v>61</v>
      </c>
      <c r="AH135" s="79">
        <v>2311</v>
      </c>
      <c r="AI135" s="79">
        <v>857</v>
      </c>
      <c r="AJ135" s="79">
        <v>486</v>
      </c>
      <c r="AK135" s="79"/>
      <c r="AL135" s="79" t="s">
        <v>1462</v>
      </c>
      <c r="AM135" s="79" t="s">
        <v>1575</v>
      </c>
      <c r="AN135" s="84" t="str">
        <f>HYPERLINK("https://t.co/drluH7Adyq")</f>
        <v>https://t.co/drluH7Adyq</v>
      </c>
      <c r="AO135" s="79"/>
      <c r="AP135" s="81">
        <v>43422.15935185185</v>
      </c>
      <c r="AQ135" s="84" t="str">
        <f>HYPERLINK("https://pbs.twimg.com/profile_banners/1064002624205205505/1543252135")</f>
        <v>https://pbs.twimg.com/profile_banners/1064002624205205505/1543252135</v>
      </c>
      <c r="AR135" s="79" t="b">
        <v>0</v>
      </c>
      <c r="AS135" s="79" t="b">
        <v>0</v>
      </c>
      <c r="AT135" s="79" t="b">
        <v>0</v>
      </c>
      <c r="AU135" s="79"/>
      <c r="AV135" s="79">
        <v>71</v>
      </c>
      <c r="AW135" s="84" t="str">
        <f>HYPERLINK("https://abs.twimg.com/images/themes/theme1/bg.png")</f>
        <v>https://abs.twimg.com/images/themes/theme1/bg.png</v>
      </c>
      <c r="AX135" s="79" t="b">
        <v>0</v>
      </c>
      <c r="AY135" s="79" t="s">
        <v>1601</v>
      </c>
      <c r="AZ135" s="84" t="str">
        <f>HYPERLINK("https://twitter.com/shiokmeats")</f>
        <v>https://twitter.com/shiokmeats</v>
      </c>
      <c r="BA135" s="79" t="s">
        <v>66</v>
      </c>
      <c r="BB135" s="79" t="str">
        <f>REPLACE(INDEX(GroupVertices[Group],MATCH(Vertices[[#This Row],[Vertex]],GroupVertices[Vertex],0)),1,1,"")</f>
        <v>3</v>
      </c>
      <c r="BC135" s="49" t="s">
        <v>2252</v>
      </c>
      <c r="BD135" s="49" t="s">
        <v>2252</v>
      </c>
      <c r="BE135" s="49" t="s">
        <v>2264</v>
      </c>
      <c r="BF135" s="49" t="s">
        <v>2264</v>
      </c>
      <c r="BG135" s="49"/>
      <c r="BH135" s="49"/>
      <c r="BI135" s="108" t="s">
        <v>2321</v>
      </c>
      <c r="BJ135" s="108" t="s">
        <v>2348</v>
      </c>
      <c r="BK135" s="108" t="s">
        <v>2389</v>
      </c>
      <c r="BL135" s="108" t="s">
        <v>2389</v>
      </c>
      <c r="BM135" s="108">
        <v>1</v>
      </c>
      <c r="BN135" s="111">
        <v>3.5714285714285716</v>
      </c>
      <c r="BO135" s="108">
        <v>0</v>
      </c>
      <c r="BP135" s="111">
        <v>0</v>
      </c>
      <c r="BQ135" s="108">
        <v>0</v>
      </c>
      <c r="BR135" s="111">
        <v>0</v>
      </c>
      <c r="BS135" s="108">
        <v>27</v>
      </c>
      <c r="BT135" s="111">
        <v>96.42857142857143</v>
      </c>
      <c r="BU135" s="108">
        <v>28</v>
      </c>
      <c r="BV135" s="2"/>
      <c r="BW135" s="3"/>
      <c r="BX135" s="3"/>
      <c r="BY135" s="3"/>
      <c r="BZ135" s="3"/>
    </row>
    <row r="136" spans="1:78" ht="41.45" customHeight="1">
      <c r="A136" s="65" t="s">
        <v>395</v>
      </c>
      <c r="C136" s="66"/>
      <c r="D136" s="66" t="s">
        <v>64</v>
      </c>
      <c r="E136" s="67">
        <v>162.38999835035756</v>
      </c>
      <c r="F136" s="69"/>
      <c r="G136" s="103" t="str">
        <f>HYPERLINK("https://pbs.twimg.com/profile_images/1130480011646001155/GtlD6Xfq_normal.png")</f>
        <v>https://pbs.twimg.com/profile_images/1130480011646001155/GtlD6Xfq_normal.png</v>
      </c>
      <c r="H136" s="66"/>
      <c r="I136" s="70" t="s">
        <v>395</v>
      </c>
      <c r="J136" s="71"/>
      <c r="K136" s="71"/>
      <c r="L136" s="70" t="s">
        <v>1734</v>
      </c>
      <c r="M136" s="74">
        <v>1.298367061346656</v>
      </c>
      <c r="N136" s="75">
        <v>4956.02587890625</v>
      </c>
      <c r="O136" s="75">
        <v>7929.0576171875</v>
      </c>
      <c r="P136" s="76"/>
      <c r="Q136" s="77"/>
      <c r="R136" s="77"/>
      <c r="S136" s="89"/>
      <c r="T136" s="49">
        <v>1</v>
      </c>
      <c r="U136" s="49">
        <v>0</v>
      </c>
      <c r="V136" s="50">
        <v>0</v>
      </c>
      <c r="W136" s="50">
        <v>0.00463</v>
      </c>
      <c r="X136" s="50">
        <v>5.7E-05</v>
      </c>
      <c r="Y136" s="50">
        <v>0.402736</v>
      </c>
      <c r="Z136" s="50">
        <v>0</v>
      </c>
      <c r="AA136" s="50">
        <v>0</v>
      </c>
      <c r="AB136" s="72">
        <v>136</v>
      </c>
      <c r="AC136" s="72"/>
      <c r="AD136" s="73"/>
      <c r="AE136" s="79" t="s">
        <v>1141</v>
      </c>
      <c r="AF136" s="88" t="s">
        <v>961</v>
      </c>
      <c r="AG136" s="79">
        <v>1114</v>
      </c>
      <c r="AH136" s="79">
        <v>773</v>
      </c>
      <c r="AI136" s="79">
        <v>1711</v>
      </c>
      <c r="AJ136" s="79">
        <v>2233</v>
      </c>
      <c r="AK136" s="79"/>
      <c r="AL136" s="79" t="s">
        <v>1463</v>
      </c>
      <c r="AM136" s="79" t="s">
        <v>1576</v>
      </c>
      <c r="AN136" s="84" t="str">
        <f>HYPERLINK("https://t.co/gdUXINOs8G")</f>
        <v>https://t.co/gdUXINOs8G</v>
      </c>
      <c r="AO136" s="79"/>
      <c r="AP136" s="81">
        <v>40977.488541666666</v>
      </c>
      <c r="AQ136" s="84" t="str">
        <f>HYPERLINK("https://pbs.twimg.com/profile_banners/519415409/1633687584")</f>
        <v>https://pbs.twimg.com/profile_banners/519415409/1633687584</v>
      </c>
      <c r="AR136" s="79" t="b">
        <v>0</v>
      </c>
      <c r="AS136" s="79" t="b">
        <v>0</v>
      </c>
      <c r="AT136" s="79" t="b">
        <v>0</v>
      </c>
      <c r="AU136" s="79"/>
      <c r="AV136" s="79">
        <v>28</v>
      </c>
      <c r="AW136" s="84" t="str">
        <f>HYPERLINK("https://abs.twimg.com/images/themes/theme1/bg.png")</f>
        <v>https://abs.twimg.com/images/themes/theme1/bg.png</v>
      </c>
      <c r="AX136" s="79" t="b">
        <v>0</v>
      </c>
      <c r="AY136" s="79" t="s">
        <v>1601</v>
      </c>
      <c r="AZ136" s="84" t="str">
        <f>HYPERLINK("https://twitter.com/soroushjp")</f>
        <v>https://twitter.com/soroushjp</v>
      </c>
      <c r="BA136" s="79" t="s">
        <v>65</v>
      </c>
      <c r="BB136" s="79" t="str">
        <f>REPLACE(INDEX(GroupVertices[Group],MATCH(Vertices[[#This Row],[Vertex]],GroupVertices[Vertex],0)),1,1,"")</f>
        <v>3</v>
      </c>
      <c r="BC136" s="49"/>
      <c r="BD136" s="49"/>
      <c r="BE136" s="49"/>
      <c r="BF136" s="49"/>
      <c r="BG136" s="49"/>
      <c r="BH136" s="49"/>
      <c r="BI136" s="49"/>
      <c r="BJ136" s="49"/>
      <c r="BK136" s="49"/>
      <c r="BL136" s="49"/>
      <c r="BM136" s="49"/>
      <c r="BN136" s="50"/>
      <c r="BO136" s="49"/>
      <c r="BP136" s="50"/>
      <c r="BQ136" s="49"/>
      <c r="BR136" s="50"/>
      <c r="BS136" s="49"/>
      <c r="BT136" s="50"/>
      <c r="BU136" s="49"/>
      <c r="BV136" s="2"/>
      <c r="BW136" s="3"/>
      <c r="BX136" s="3"/>
      <c r="BY136" s="3"/>
      <c r="BZ136" s="3"/>
    </row>
    <row r="137" spans="1:78" ht="41.45" customHeight="1">
      <c r="A137" s="65" t="s">
        <v>330</v>
      </c>
      <c r="C137" s="66"/>
      <c r="D137" s="66" t="s">
        <v>64</v>
      </c>
      <c r="E137" s="67">
        <v>162.5025075769161</v>
      </c>
      <c r="F137" s="69"/>
      <c r="G137" s="103" t="str">
        <f>HYPERLINK("https://pbs.twimg.com/profile_images/1437693571860099078/rDcmu9i__normal.jpg")</f>
        <v>https://pbs.twimg.com/profile_images/1437693571860099078/rDcmu9i__normal.jpg</v>
      </c>
      <c r="H137" s="66"/>
      <c r="I137" s="70" t="s">
        <v>330</v>
      </c>
      <c r="J137" s="71"/>
      <c r="K137" s="71"/>
      <c r="L137" s="70" t="s">
        <v>1735</v>
      </c>
      <c r="M137" s="74">
        <v>1.3844419056937507</v>
      </c>
      <c r="N137" s="75">
        <v>2810.208984375</v>
      </c>
      <c r="O137" s="75">
        <v>8741.3076171875</v>
      </c>
      <c r="P137" s="76"/>
      <c r="Q137" s="77"/>
      <c r="R137" s="77"/>
      <c r="S137" s="89"/>
      <c r="T137" s="49">
        <v>0</v>
      </c>
      <c r="U137" s="49">
        <v>4</v>
      </c>
      <c r="V137" s="50">
        <v>0.0625</v>
      </c>
      <c r="W137" s="50">
        <v>0.007092</v>
      </c>
      <c r="X137" s="50">
        <v>0.023308</v>
      </c>
      <c r="Y137" s="50">
        <v>0.598438</v>
      </c>
      <c r="Z137" s="50">
        <v>0.4166666666666667</v>
      </c>
      <c r="AA137" s="50">
        <v>0</v>
      </c>
      <c r="AB137" s="72">
        <v>137</v>
      </c>
      <c r="AC137" s="72"/>
      <c r="AD137" s="73"/>
      <c r="AE137" s="79" t="s">
        <v>1142</v>
      </c>
      <c r="AF137" s="88" t="s">
        <v>1304</v>
      </c>
      <c r="AG137" s="79">
        <v>48</v>
      </c>
      <c r="AH137" s="79">
        <v>996</v>
      </c>
      <c r="AI137" s="79">
        <v>245863</v>
      </c>
      <c r="AJ137" s="79">
        <v>150666</v>
      </c>
      <c r="AK137" s="79"/>
      <c r="AL137" s="79" t="s">
        <v>1464</v>
      </c>
      <c r="AM137" s="79" t="s">
        <v>1577</v>
      </c>
      <c r="AN137" s="84" t="str">
        <f>HYPERLINK("https://t.co/xPifF3Lveq")</f>
        <v>https://t.co/xPifF3Lveq</v>
      </c>
      <c r="AO137" s="79"/>
      <c r="AP137" s="81">
        <v>41010.26090277778</v>
      </c>
      <c r="AQ137" s="84" t="str">
        <f>HYPERLINK("https://pbs.twimg.com/profile_banners/550829262/1562122798")</f>
        <v>https://pbs.twimg.com/profile_banners/550829262/1562122798</v>
      </c>
      <c r="AR137" s="79" t="b">
        <v>0</v>
      </c>
      <c r="AS137" s="79" t="b">
        <v>0</v>
      </c>
      <c r="AT137" s="79" t="b">
        <v>1</v>
      </c>
      <c r="AU137" s="79"/>
      <c r="AV137" s="79">
        <v>19</v>
      </c>
      <c r="AW137" s="84" t="str">
        <f>HYPERLINK("https://abs.twimg.com/images/themes/theme1/bg.png")</f>
        <v>https://abs.twimg.com/images/themes/theme1/bg.png</v>
      </c>
      <c r="AX137" s="79" t="b">
        <v>0</v>
      </c>
      <c r="AY137" s="79" t="s">
        <v>1601</v>
      </c>
      <c r="AZ137" s="84" t="str">
        <f>HYPERLINK("https://twitter.com/kjgheroman")</f>
        <v>https://twitter.com/kjgheroman</v>
      </c>
      <c r="BA137" s="79" t="s">
        <v>66</v>
      </c>
      <c r="BB137" s="79" t="str">
        <f>REPLACE(INDEX(GroupVertices[Group],MATCH(Vertices[[#This Row],[Vertex]],GroupVertices[Vertex],0)),1,1,"")</f>
        <v>1</v>
      </c>
      <c r="BC137" s="49" t="s">
        <v>2253</v>
      </c>
      <c r="BD137" s="49" t="s">
        <v>2253</v>
      </c>
      <c r="BE137" s="49" t="s">
        <v>528</v>
      </c>
      <c r="BF137" s="49" t="s">
        <v>528</v>
      </c>
      <c r="BG137" s="49"/>
      <c r="BH137" s="49"/>
      <c r="BI137" s="108" t="s">
        <v>2295</v>
      </c>
      <c r="BJ137" s="108" t="s">
        <v>2295</v>
      </c>
      <c r="BK137" s="108" t="s">
        <v>2151</v>
      </c>
      <c r="BL137" s="108" t="s">
        <v>2151</v>
      </c>
      <c r="BM137" s="108">
        <v>0</v>
      </c>
      <c r="BN137" s="111">
        <v>0</v>
      </c>
      <c r="BO137" s="108">
        <v>0</v>
      </c>
      <c r="BP137" s="111">
        <v>0</v>
      </c>
      <c r="BQ137" s="108">
        <v>0</v>
      </c>
      <c r="BR137" s="111">
        <v>0</v>
      </c>
      <c r="BS137" s="108">
        <v>68</v>
      </c>
      <c r="BT137" s="111">
        <v>100</v>
      </c>
      <c r="BU137" s="108">
        <v>68</v>
      </c>
      <c r="BV137" s="2"/>
      <c r="BW137" s="3"/>
      <c r="BX137" s="3"/>
      <c r="BY137" s="3"/>
      <c r="BZ137" s="3"/>
    </row>
    <row r="138" spans="1:78" ht="41.45" customHeight="1">
      <c r="A138" s="65" t="s">
        <v>333</v>
      </c>
      <c r="C138" s="66"/>
      <c r="D138" s="66" t="s">
        <v>64</v>
      </c>
      <c r="E138" s="67">
        <v>163.50752273074826</v>
      </c>
      <c r="F138" s="69"/>
      <c r="G138" s="103" t="str">
        <f>HYPERLINK("https://pbs.twimg.com/profile_images/1354343790060969990/Fqw5w_P0_normal.jpg")</f>
        <v>https://pbs.twimg.com/profile_images/1354343790060969990/Fqw5w_P0_normal.jpg</v>
      </c>
      <c r="H138" s="66"/>
      <c r="I138" s="70" t="s">
        <v>333</v>
      </c>
      <c r="J138" s="71"/>
      <c r="K138" s="71"/>
      <c r="L138" s="70" t="s">
        <v>1736</v>
      </c>
      <c r="M138" s="74">
        <v>2.153325717081252</v>
      </c>
      <c r="N138" s="75">
        <v>2883.0380859375</v>
      </c>
      <c r="O138" s="75">
        <v>6423.69189453125</v>
      </c>
      <c r="P138" s="76"/>
      <c r="Q138" s="77"/>
      <c r="R138" s="77"/>
      <c r="S138" s="89"/>
      <c r="T138" s="49">
        <v>1</v>
      </c>
      <c r="U138" s="49">
        <v>4</v>
      </c>
      <c r="V138" s="50">
        <v>0.0625</v>
      </c>
      <c r="W138" s="50">
        <v>0.006135</v>
      </c>
      <c r="X138" s="50">
        <v>0.022056</v>
      </c>
      <c r="Y138" s="50">
        <v>0.723597</v>
      </c>
      <c r="Z138" s="50">
        <v>0.5</v>
      </c>
      <c r="AA138" s="50">
        <v>0</v>
      </c>
      <c r="AB138" s="72">
        <v>138</v>
      </c>
      <c r="AC138" s="72"/>
      <c r="AD138" s="73"/>
      <c r="AE138" s="79" t="s">
        <v>1143</v>
      </c>
      <c r="AF138" s="88" t="s">
        <v>1305</v>
      </c>
      <c r="AG138" s="79">
        <v>3380</v>
      </c>
      <c r="AH138" s="79">
        <v>2988</v>
      </c>
      <c r="AI138" s="79">
        <v>130338</v>
      </c>
      <c r="AJ138" s="79">
        <v>20670</v>
      </c>
      <c r="AK138" s="79"/>
      <c r="AL138" s="79" t="s">
        <v>1465</v>
      </c>
      <c r="AM138" s="79" t="s">
        <v>1578</v>
      </c>
      <c r="AN138" s="84" t="str">
        <f>HYPERLINK("https://t.co/fx5txl5NYE")</f>
        <v>https://t.co/fx5txl5NYE</v>
      </c>
      <c r="AO138" s="79"/>
      <c r="AP138" s="81">
        <v>40695.808599537035</v>
      </c>
      <c r="AQ138" s="84" t="str">
        <f>HYPERLINK("https://pbs.twimg.com/profile_banners/309238549/1595564535")</f>
        <v>https://pbs.twimg.com/profile_banners/309238549/1595564535</v>
      </c>
      <c r="AR138" s="79" t="b">
        <v>0</v>
      </c>
      <c r="AS138" s="79" t="b">
        <v>0</v>
      </c>
      <c r="AT138" s="79" t="b">
        <v>1</v>
      </c>
      <c r="AU138" s="79"/>
      <c r="AV138" s="79">
        <v>35</v>
      </c>
      <c r="AW138" s="84" t="str">
        <f>HYPERLINK("https://abs.twimg.com/images/themes/theme14/bg.gif")</f>
        <v>https://abs.twimg.com/images/themes/theme14/bg.gif</v>
      </c>
      <c r="AX138" s="79" t="b">
        <v>0</v>
      </c>
      <c r="AY138" s="79" t="s">
        <v>1601</v>
      </c>
      <c r="AZ138" s="84" t="str">
        <f>HYPERLINK("https://twitter.com/jfrusci")</f>
        <v>https://twitter.com/jfrusci</v>
      </c>
      <c r="BA138" s="79" t="s">
        <v>66</v>
      </c>
      <c r="BB138" s="79" t="str">
        <f>REPLACE(INDEX(GroupVertices[Group],MATCH(Vertices[[#This Row],[Vertex]],GroupVertices[Vertex],0)),1,1,"")</f>
        <v>1</v>
      </c>
      <c r="BC138" s="49" t="s">
        <v>2244</v>
      </c>
      <c r="BD138" s="49" t="s">
        <v>2244</v>
      </c>
      <c r="BE138" s="49" t="s">
        <v>528</v>
      </c>
      <c r="BF138" s="49" t="s">
        <v>528</v>
      </c>
      <c r="BG138" s="49"/>
      <c r="BH138" s="49"/>
      <c r="BI138" s="108" t="s">
        <v>2295</v>
      </c>
      <c r="BJ138" s="108" t="s">
        <v>2295</v>
      </c>
      <c r="BK138" s="108" t="s">
        <v>2151</v>
      </c>
      <c r="BL138" s="108" t="s">
        <v>2151</v>
      </c>
      <c r="BM138" s="108">
        <v>0</v>
      </c>
      <c r="BN138" s="111">
        <v>0</v>
      </c>
      <c r="BO138" s="108">
        <v>0</v>
      </c>
      <c r="BP138" s="111">
        <v>0</v>
      </c>
      <c r="BQ138" s="108">
        <v>0</v>
      </c>
      <c r="BR138" s="111">
        <v>0</v>
      </c>
      <c r="BS138" s="108">
        <v>216</v>
      </c>
      <c r="BT138" s="111">
        <v>100</v>
      </c>
      <c r="BU138" s="108">
        <v>216</v>
      </c>
      <c r="BV138" s="2"/>
      <c r="BW138" s="3"/>
      <c r="BX138" s="3"/>
      <c r="BY138" s="3"/>
      <c r="BZ138" s="3"/>
    </row>
    <row r="139" spans="1:78" ht="41.45" customHeight="1">
      <c r="A139" s="65" t="s">
        <v>334</v>
      </c>
      <c r="C139" s="66"/>
      <c r="D139" s="66" t="s">
        <v>64</v>
      </c>
      <c r="E139" s="67">
        <v>162.66799199983623</v>
      </c>
      <c r="F139" s="69"/>
      <c r="G139" s="103" t="str">
        <f>HYPERLINK("https://pbs.twimg.com/profile_images/1191749200121348096/BmfItDOa_normal.jpg")</f>
        <v>https://pbs.twimg.com/profile_images/1191749200121348096/BmfItDOa_normal.jpg</v>
      </c>
      <c r="H139" s="66"/>
      <c r="I139" s="70" t="s">
        <v>334</v>
      </c>
      <c r="J139" s="71"/>
      <c r="K139" s="71"/>
      <c r="L139" s="70" t="s">
        <v>1737</v>
      </c>
      <c r="M139" s="74">
        <v>1.5110452641953072</v>
      </c>
      <c r="N139" s="75">
        <v>2080.344482421875</v>
      </c>
      <c r="O139" s="75">
        <v>6332.490234375</v>
      </c>
      <c r="P139" s="76"/>
      <c r="Q139" s="77"/>
      <c r="R139" s="77"/>
      <c r="S139" s="89"/>
      <c r="T139" s="49">
        <v>0</v>
      </c>
      <c r="U139" s="49">
        <v>7</v>
      </c>
      <c r="V139" s="50">
        <v>50.0625</v>
      </c>
      <c r="W139" s="50">
        <v>0.007299</v>
      </c>
      <c r="X139" s="50">
        <v>0.028904</v>
      </c>
      <c r="Y139" s="50">
        <v>0.981332</v>
      </c>
      <c r="Z139" s="50">
        <v>0.38095238095238093</v>
      </c>
      <c r="AA139" s="50">
        <v>0</v>
      </c>
      <c r="AB139" s="72">
        <v>139</v>
      </c>
      <c r="AC139" s="72"/>
      <c r="AD139" s="73"/>
      <c r="AE139" s="79" t="s">
        <v>1144</v>
      </c>
      <c r="AF139" s="88" t="s">
        <v>1306</v>
      </c>
      <c r="AG139" s="79">
        <v>228</v>
      </c>
      <c r="AH139" s="79">
        <v>1324</v>
      </c>
      <c r="AI139" s="79">
        <v>44050</v>
      </c>
      <c r="AJ139" s="79">
        <v>59</v>
      </c>
      <c r="AK139" s="79"/>
      <c r="AL139" s="79" t="s">
        <v>1466</v>
      </c>
      <c r="AM139" s="79"/>
      <c r="AN139" s="84" t="str">
        <f>HYPERLINK("https://t.co/RFDNG4top1")</f>
        <v>https://t.co/RFDNG4top1</v>
      </c>
      <c r="AO139" s="79"/>
      <c r="AP139" s="81">
        <v>43774.665138888886</v>
      </c>
      <c r="AQ139" s="84" t="str">
        <f>HYPERLINK("https://pbs.twimg.com/profile_banners/1191746109250691072/1590426529")</f>
        <v>https://pbs.twimg.com/profile_banners/1191746109250691072/1590426529</v>
      </c>
      <c r="AR139" s="79" t="b">
        <v>1</v>
      </c>
      <c r="AS139" s="79" t="b">
        <v>0</v>
      </c>
      <c r="AT139" s="79" t="b">
        <v>0</v>
      </c>
      <c r="AU139" s="79"/>
      <c r="AV139" s="79">
        <v>17</v>
      </c>
      <c r="AW139" s="79"/>
      <c r="AX139" s="79" t="b">
        <v>0</v>
      </c>
      <c r="AY139" s="79" t="s">
        <v>1601</v>
      </c>
      <c r="AZ139" s="84" t="str">
        <f>HYPERLINK("https://twitter.com/oikos_solutions")</f>
        <v>https://twitter.com/oikos_solutions</v>
      </c>
      <c r="BA139" s="79" t="s">
        <v>66</v>
      </c>
      <c r="BB139" s="79" t="str">
        <f>REPLACE(INDEX(GroupVertices[Group],MATCH(Vertices[[#This Row],[Vertex]],GroupVertices[Vertex],0)),1,1,"")</f>
        <v>1</v>
      </c>
      <c r="BC139" s="49" t="s">
        <v>2254</v>
      </c>
      <c r="BD139" s="49" t="s">
        <v>2254</v>
      </c>
      <c r="BE139" s="49" t="s">
        <v>1912</v>
      </c>
      <c r="BF139" s="49" t="s">
        <v>2268</v>
      </c>
      <c r="BG139" s="49"/>
      <c r="BH139" s="49"/>
      <c r="BI139" s="108" t="s">
        <v>2295</v>
      </c>
      <c r="BJ139" s="108" t="s">
        <v>2349</v>
      </c>
      <c r="BK139" s="108" t="s">
        <v>2151</v>
      </c>
      <c r="BL139" s="108" t="s">
        <v>2414</v>
      </c>
      <c r="BM139" s="108">
        <v>0</v>
      </c>
      <c r="BN139" s="111">
        <v>0</v>
      </c>
      <c r="BO139" s="108">
        <v>0</v>
      </c>
      <c r="BP139" s="111">
        <v>0</v>
      </c>
      <c r="BQ139" s="108">
        <v>0</v>
      </c>
      <c r="BR139" s="111">
        <v>0</v>
      </c>
      <c r="BS139" s="108">
        <v>312</v>
      </c>
      <c r="BT139" s="111">
        <v>100</v>
      </c>
      <c r="BU139" s="108">
        <v>312</v>
      </c>
      <c r="BV139" s="2"/>
      <c r="BW139" s="3"/>
      <c r="BX139" s="3"/>
      <c r="BY139" s="3"/>
      <c r="BZ139" s="3"/>
    </row>
    <row r="140" spans="1:78" ht="41.45" customHeight="1">
      <c r="A140" s="65" t="s">
        <v>335</v>
      </c>
      <c r="C140" s="66"/>
      <c r="D140" s="66" t="s">
        <v>64</v>
      </c>
      <c r="E140" s="67">
        <v>162.55144656784063</v>
      </c>
      <c r="F140" s="69"/>
      <c r="G140" s="103" t="str">
        <f>HYPERLINK("https://pbs.twimg.com/profile_images/498539790849933314/u5A3CD6G_normal.jpeg")</f>
        <v>https://pbs.twimg.com/profile_images/498539790849933314/u5A3CD6G_normal.jpeg</v>
      </c>
      <c r="H140" s="66"/>
      <c r="I140" s="70" t="s">
        <v>335</v>
      </c>
      <c r="J140" s="71"/>
      <c r="K140" s="71"/>
      <c r="L140" s="70" t="s">
        <v>1738</v>
      </c>
      <c r="M140" s="74">
        <v>1.4218825330554914</v>
      </c>
      <c r="N140" s="75">
        <v>3231.560791015625</v>
      </c>
      <c r="O140" s="75">
        <v>7407.03076171875</v>
      </c>
      <c r="P140" s="76"/>
      <c r="Q140" s="77"/>
      <c r="R140" s="77"/>
      <c r="S140" s="89"/>
      <c r="T140" s="49">
        <v>0</v>
      </c>
      <c r="U140" s="49">
        <v>4</v>
      </c>
      <c r="V140" s="50">
        <v>0.0625</v>
      </c>
      <c r="W140" s="50">
        <v>0.007092</v>
      </c>
      <c r="X140" s="50">
        <v>0.023308</v>
      </c>
      <c r="Y140" s="50">
        <v>0.598438</v>
      </c>
      <c r="Z140" s="50">
        <v>0.4166666666666667</v>
      </c>
      <c r="AA140" s="50">
        <v>0</v>
      </c>
      <c r="AB140" s="72">
        <v>140</v>
      </c>
      <c r="AC140" s="72"/>
      <c r="AD140" s="73"/>
      <c r="AE140" s="79" t="s">
        <v>1145</v>
      </c>
      <c r="AF140" s="88" t="s">
        <v>1307</v>
      </c>
      <c r="AG140" s="79">
        <v>955</v>
      </c>
      <c r="AH140" s="79">
        <v>1093</v>
      </c>
      <c r="AI140" s="79">
        <v>92082</v>
      </c>
      <c r="AJ140" s="79">
        <v>43218</v>
      </c>
      <c r="AK140" s="79"/>
      <c r="AL140" s="79" t="s">
        <v>1467</v>
      </c>
      <c r="AM140" s="79"/>
      <c r="AN140" s="79"/>
      <c r="AO140" s="79"/>
      <c r="AP140" s="81">
        <v>40062.70315972222</v>
      </c>
      <c r="AQ140" s="84" t="str">
        <f>HYPERLINK("https://pbs.twimg.com/profile_banners/72073551/1393101207")</f>
        <v>https://pbs.twimg.com/profile_banners/72073551/1393101207</v>
      </c>
      <c r="AR140" s="79" t="b">
        <v>0</v>
      </c>
      <c r="AS140" s="79" t="b">
        <v>0</v>
      </c>
      <c r="AT140" s="79" t="b">
        <v>0</v>
      </c>
      <c r="AU140" s="79"/>
      <c r="AV140" s="79">
        <v>7</v>
      </c>
      <c r="AW140" s="84" t="str">
        <f>HYPERLINK("https://abs.twimg.com/images/themes/theme10/bg.gif")</f>
        <v>https://abs.twimg.com/images/themes/theme10/bg.gif</v>
      </c>
      <c r="AX140" s="79" t="b">
        <v>0</v>
      </c>
      <c r="AY140" s="79" t="s">
        <v>1601</v>
      </c>
      <c r="AZ140" s="84" t="str">
        <f>HYPERLINK("https://twitter.com/tigrinyan")</f>
        <v>https://twitter.com/tigrinyan</v>
      </c>
      <c r="BA140" s="79" t="s">
        <v>66</v>
      </c>
      <c r="BB140" s="79" t="str">
        <f>REPLACE(INDEX(GroupVertices[Group],MATCH(Vertices[[#This Row],[Vertex]],GroupVertices[Vertex],0)),1,1,"")</f>
        <v>1</v>
      </c>
      <c r="BC140" s="49" t="s">
        <v>1825</v>
      </c>
      <c r="BD140" s="49" t="s">
        <v>1825</v>
      </c>
      <c r="BE140" s="49" t="s">
        <v>528</v>
      </c>
      <c r="BF140" s="49" t="s">
        <v>528</v>
      </c>
      <c r="BG140" s="49"/>
      <c r="BH140" s="49"/>
      <c r="BI140" s="108" t="s">
        <v>2295</v>
      </c>
      <c r="BJ140" s="108" t="s">
        <v>2295</v>
      </c>
      <c r="BK140" s="108" t="s">
        <v>2151</v>
      </c>
      <c r="BL140" s="108" t="s">
        <v>2151</v>
      </c>
      <c r="BM140" s="108">
        <v>0</v>
      </c>
      <c r="BN140" s="111">
        <v>0</v>
      </c>
      <c r="BO140" s="108">
        <v>0</v>
      </c>
      <c r="BP140" s="111">
        <v>0</v>
      </c>
      <c r="BQ140" s="108">
        <v>0</v>
      </c>
      <c r="BR140" s="111">
        <v>0</v>
      </c>
      <c r="BS140" s="108">
        <v>34</v>
      </c>
      <c r="BT140" s="111">
        <v>100</v>
      </c>
      <c r="BU140" s="108">
        <v>34</v>
      </c>
      <c r="BV140" s="2"/>
      <c r="BW140" s="3"/>
      <c r="BX140" s="3"/>
      <c r="BY140" s="3"/>
      <c r="BZ140" s="3"/>
    </row>
    <row r="141" spans="1:78" ht="41.45" customHeight="1">
      <c r="A141" s="65" t="s">
        <v>336</v>
      </c>
      <c r="C141" s="66"/>
      <c r="D141" s="66" t="s">
        <v>64</v>
      </c>
      <c r="E141" s="67">
        <v>162.12159068879194</v>
      </c>
      <c r="F141" s="69"/>
      <c r="G141" s="103" t="str">
        <f>HYPERLINK("https://pbs.twimg.com/profile_images/1420068976957210624/Wjpu0_Mk_normal.jpg")</f>
        <v>https://pbs.twimg.com/profile_images/1420068976957210624/Wjpu0_Mk_normal.jpg</v>
      </c>
      <c r="H141" s="66"/>
      <c r="I141" s="70" t="s">
        <v>336</v>
      </c>
      <c r="J141" s="71"/>
      <c r="K141" s="71"/>
      <c r="L141" s="70" t="s">
        <v>1739</v>
      </c>
      <c r="M141" s="74">
        <v>1.0930225896307169</v>
      </c>
      <c r="N141" s="75">
        <v>4830.50634765625</v>
      </c>
      <c r="O141" s="75">
        <v>1539.6431884765625</v>
      </c>
      <c r="P141" s="76"/>
      <c r="Q141" s="77"/>
      <c r="R141" s="77"/>
      <c r="S141" s="89"/>
      <c r="T141" s="49">
        <v>0</v>
      </c>
      <c r="U141" s="49">
        <v>3</v>
      </c>
      <c r="V141" s="50">
        <v>0</v>
      </c>
      <c r="W141" s="50">
        <v>0.045455</v>
      </c>
      <c r="X141" s="50">
        <v>0</v>
      </c>
      <c r="Y141" s="50">
        <v>0.70157</v>
      </c>
      <c r="Z141" s="50">
        <v>0.6666666666666666</v>
      </c>
      <c r="AA141" s="50">
        <v>0</v>
      </c>
      <c r="AB141" s="72">
        <v>141</v>
      </c>
      <c r="AC141" s="72"/>
      <c r="AD141" s="73"/>
      <c r="AE141" s="79" t="s">
        <v>1146</v>
      </c>
      <c r="AF141" s="88" t="s">
        <v>1308</v>
      </c>
      <c r="AG141" s="79">
        <v>1139</v>
      </c>
      <c r="AH141" s="79">
        <v>241</v>
      </c>
      <c r="AI141" s="79">
        <v>2278</v>
      </c>
      <c r="AJ141" s="79">
        <v>7483</v>
      </c>
      <c r="AK141" s="79"/>
      <c r="AL141" s="79" t="s">
        <v>1468</v>
      </c>
      <c r="AM141" s="79"/>
      <c r="AN141" s="84" t="str">
        <f>HYPERLINK("https://t.co/A4gc4fYNMX")</f>
        <v>https://t.co/A4gc4fYNMX</v>
      </c>
      <c r="AO141" s="79"/>
      <c r="AP141" s="81">
        <v>44222.4865162037</v>
      </c>
      <c r="AQ141" s="84" t="str">
        <f>HYPERLINK("https://pbs.twimg.com/profile_banners/1354031451088560128/1618756389")</f>
        <v>https://pbs.twimg.com/profile_banners/1354031451088560128/1618756389</v>
      </c>
      <c r="AR141" s="79" t="b">
        <v>1</v>
      </c>
      <c r="AS141" s="79" t="b">
        <v>0</v>
      </c>
      <c r="AT141" s="79" t="b">
        <v>0</v>
      </c>
      <c r="AU141" s="79"/>
      <c r="AV141" s="79">
        <v>3</v>
      </c>
      <c r="AW141" s="79"/>
      <c r="AX141" s="79" t="b">
        <v>0</v>
      </c>
      <c r="AY141" s="79" t="s">
        <v>1601</v>
      </c>
      <c r="AZ141" s="84" t="str">
        <f>HYPERLINK("https://twitter.com/jshpigler")</f>
        <v>https://twitter.com/jshpigler</v>
      </c>
      <c r="BA141" s="79" t="s">
        <v>66</v>
      </c>
      <c r="BB141" s="79" t="str">
        <f>REPLACE(INDEX(GroupVertices[Group],MATCH(Vertices[[#This Row],[Vertex]],GroupVertices[Vertex],0)),1,1,"")</f>
        <v>4</v>
      </c>
      <c r="BC141" s="49" t="s">
        <v>1822</v>
      </c>
      <c r="BD141" s="49" t="s">
        <v>1822</v>
      </c>
      <c r="BE141" s="49" t="s">
        <v>532</v>
      </c>
      <c r="BF141" s="49" t="s">
        <v>532</v>
      </c>
      <c r="BG141" s="49" t="s">
        <v>558</v>
      </c>
      <c r="BH141" s="49" t="s">
        <v>558</v>
      </c>
      <c r="BI141" s="108" t="s">
        <v>2315</v>
      </c>
      <c r="BJ141" s="108" t="s">
        <v>2315</v>
      </c>
      <c r="BK141" s="108" t="s">
        <v>2154</v>
      </c>
      <c r="BL141" s="108" t="s">
        <v>2154</v>
      </c>
      <c r="BM141" s="108">
        <v>1</v>
      </c>
      <c r="BN141" s="111">
        <v>5.555555555555555</v>
      </c>
      <c r="BO141" s="108">
        <v>0</v>
      </c>
      <c r="BP141" s="111">
        <v>0</v>
      </c>
      <c r="BQ141" s="108">
        <v>0</v>
      </c>
      <c r="BR141" s="111">
        <v>0</v>
      </c>
      <c r="BS141" s="108">
        <v>17</v>
      </c>
      <c r="BT141" s="111">
        <v>94.44444444444444</v>
      </c>
      <c r="BU141" s="108">
        <v>18</v>
      </c>
      <c r="BV141" s="2"/>
      <c r="BW141" s="3"/>
      <c r="BX141" s="3"/>
      <c r="BY141" s="3"/>
      <c r="BZ141" s="3"/>
    </row>
    <row r="142" spans="1:78" ht="41.45" customHeight="1">
      <c r="A142" s="65" t="s">
        <v>337</v>
      </c>
      <c r="C142" s="66"/>
      <c r="D142" s="66" t="s">
        <v>64</v>
      </c>
      <c r="E142" s="67">
        <v>162.27849817515832</v>
      </c>
      <c r="F142" s="69"/>
      <c r="G142" s="103" t="str">
        <f>HYPERLINK("https://pbs.twimg.com/profile_images/1284061129816367104/bEv3De_Q_normal.jpg")</f>
        <v>https://pbs.twimg.com/profile_images/1284061129816367104/bEv3De_Q_normal.jpg</v>
      </c>
      <c r="H142" s="66"/>
      <c r="I142" s="70" t="s">
        <v>337</v>
      </c>
      <c r="J142" s="71"/>
      <c r="K142" s="71"/>
      <c r="L142" s="70" t="s">
        <v>1740</v>
      </c>
      <c r="M142" s="74">
        <v>1.2130641886977414</v>
      </c>
      <c r="N142" s="75">
        <v>2532.35546875</v>
      </c>
      <c r="O142" s="75">
        <v>2584.820068359375</v>
      </c>
      <c r="P142" s="76"/>
      <c r="Q142" s="77"/>
      <c r="R142" s="77"/>
      <c r="S142" s="89"/>
      <c r="T142" s="49">
        <v>1</v>
      </c>
      <c r="U142" s="49">
        <v>1</v>
      </c>
      <c r="V142" s="50">
        <v>0</v>
      </c>
      <c r="W142" s="50">
        <v>0</v>
      </c>
      <c r="X142" s="50">
        <v>0</v>
      </c>
      <c r="Y142" s="50">
        <v>0.999997</v>
      </c>
      <c r="Z142" s="50">
        <v>0</v>
      </c>
      <c r="AA142" s="50">
        <v>0</v>
      </c>
      <c r="AB142" s="72">
        <v>142</v>
      </c>
      <c r="AC142" s="72"/>
      <c r="AD142" s="73"/>
      <c r="AE142" s="79" t="s">
        <v>1147</v>
      </c>
      <c r="AF142" s="88" t="s">
        <v>1309</v>
      </c>
      <c r="AG142" s="79">
        <v>525</v>
      </c>
      <c r="AH142" s="79">
        <v>552</v>
      </c>
      <c r="AI142" s="79">
        <v>9235</v>
      </c>
      <c r="AJ142" s="79">
        <v>11426</v>
      </c>
      <c r="AK142" s="79"/>
      <c r="AL142" s="79" t="s">
        <v>1469</v>
      </c>
      <c r="AM142" s="79" t="s">
        <v>1579</v>
      </c>
      <c r="AN142" s="84" t="str">
        <f>HYPERLINK("https://t.co/mj2Q9dl3Nz")</f>
        <v>https://t.co/mj2Q9dl3Nz</v>
      </c>
      <c r="AO142" s="79"/>
      <c r="AP142" s="81">
        <v>41821.79164351852</v>
      </c>
      <c r="AQ142" s="84" t="str">
        <f>HYPERLINK("https://pbs.twimg.com/profile_banners/2598394056/1588666179")</f>
        <v>https://pbs.twimg.com/profile_banners/2598394056/1588666179</v>
      </c>
      <c r="AR142" s="79" t="b">
        <v>0</v>
      </c>
      <c r="AS142" s="79" t="b">
        <v>0</v>
      </c>
      <c r="AT142" s="79" t="b">
        <v>0</v>
      </c>
      <c r="AU142" s="79"/>
      <c r="AV142" s="79">
        <v>16</v>
      </c>
      <c r="AW142" s="84" t="str">
        <f>HYPERLINK("https://abs.twimg.com/images/themes/theme6/bg.gif")</f>
        <v>https://abs.twimg.com/images/themes/theme6/bg.gif</v>
      </c>
      <c r="AX142" s="79" t="b">
        <v>0</v>
      </c>
      <c r="AY142" s="79" t="s">
        <v>1601</v>
      </c>
      <c r="AZ142" s="84" t="str">
        <f>HYPERLINK("https://twitter.com/animalsujet")</f>
        <v>https://twitter.com/animalsujet</v>
      </c>
      <c r="BA142" s="79" t="s">
        <v>66</v>
      </c>
      <c r="BB142" s="79" t="str">
        <f>REPLACE(INDEX(GroupVertices[Group],MATCH(Vertices[[#This Row],[Vertex]],GroupVertices[Vertex],0)),1,1,"")</f>
        <v>2</v>
      </c>
      <c r="BC142" s="49" t="s">
        <v>2255</v>
      </c>
      <c r="BD142" s="49" t="s">
        <v>2255</v>
      </c>
      <c r="BE142" s="49" t="s">
        <v>524</v>
      </c>
      <c r="BF142" s="49" t="s">
        <v>524</v>
      </c>
      <c r="BG142" s="49"/>
      <c r="BH142" s="49"/>
      <c r="BI142" s="108" t="s">
        <v>2322</v>
      </c>
      <c r="BJ142" s="108" t="s">
        <v>2322</v>
      </c>
      <c r="BK142" s="108" t="s">
        <v>2390</v>
      </c>
      <c r="BL142" s="108" t="s">
        <v>2390</v>
      </c>
      <c r="BM142" s="108">
        <v>0</v>
      </c>
      <c r="BN142" s="111">
        <v>0</v>
      </c>
      <c r="BO142" s="108">
        <v>0</v>
      </c>
      <c r="BP142" s="111">
        <v>0</v>
      </c>
      <c r="BQ142" s="108">
        <v>0</v>
      </c>
      <c r="BR142" s="111">
        <v>0</v>
      </c>
      <c r="BS142" s="108">
        <v>38</v>
      </c>
      <c r="BT142" s="111">
        <v>100</v>
      </c>
      <c r="BU142" s="108">
        <v>38</v>
      </c>
      <c r="BV142" s="2"/>
      <c r="BW142" s="3"/>
      <c r="BX142" s="3"/>
      <c r="BY142" s="3"/>
      <c r="BZ142" s="3"/>
    </row>
    <row r="143" spans="1:78" ht="41.45" customHeight="1">
      <c r="A143" s="65" t="s">
        <v>338</v>
      </c>
      <c r="C143" s="66"/>
      <c r="D143" s="66" t="s">
        <v>64</v>
      </c>
      <c r="E143" s="67">
        <v>163.47573761293128</v>
      </c>
      <c r="F143" s="69"/>
      <c r="G143" s="103" t="str">
        <f>HYPERLINK("https://pbs.twimg.com/profile_images/1026975096622047232/HXACUwaE_normal.jpg")</f>
        <v>https://pbs.twimg.com/profile_images/1026975096622047232/HXACUwaE_normal.jpg</v>
      </c>
      <c r="H143" s="66"/>
      <c r="I143" s="70" t="s">
        <v>338</v>
      </c>
      <c r="J143" s="71"/>
      <c r="K143" s="71"/>
      <c r="L143" s="70" t="s">
        <v>1741</v>
      </c>
      <c r="M143" s="74">
        <v>2.129008608588575</v>
      </c>
      <c r="N143" s="75">
        <v>1600.08154296875</v>
      </c>
      <c r="O143" s="75">
        <v>1864.9967041015625</v>
      </c>
      <c r="P143" s="76"/>
      <c r="Q143" s="77"/>
      <c r="R143" s="77"/>
      <c r="S143" s="89"/>
      <c r="T143" s="49">
        <v>1</v>
      </c>
      <c r="U143" s="49">
        <v>1</v>
      </c>
      <c r="V143" s="50">
        <v>0</v>
      </c>
      <c r="W143" s="50">
        <v>0</v>
      </c>
      <c r="X143" s="50">
        <v>0</v>
      </c>
      <c r="Y143" s="50">
        <v>0.999997</v>
      </c>
      <c r="Z143" s="50">
        <v>0</v>
      </c>
      <c r="AA143" s="50">
        <v>0</v>
      </c>
      <c r="AB143" s="72">
        <v>143</v>
      </c>
      <c r="AC143" s="72"/>
      <c r="AD143" s="73"/>
      <c r="AE143" s="79" t="s">
        <v>1148</v>
      </c>
      <c r="AF143" s="88" t="s">
        <v>1310</v>
      </c>
      <c r="AG143" s="79">
        <v>1913</v>
      </c>
      <c r="AH143" s="79">
        <v>2925</v>
      </c>
      <c r="AI143" s="79">
        <v>45598</v>
      </c>
      <c r="AJ143" s="79">
        <v>253</v>
      </c>
      <c r="AK143" s="79"/>
      <c r="AL143" s="79" t="s">
        <v>1470</v>
      </c>
      <c r="AM143" s="79" t="s">
        <v>1580</v>
      </c>
      <c r="AN143" s="84" t="str">
        <f>HYPERLINK("https://t.co/7W4EoDljKv")</f>
        <v>https://t.co/7W4EoDljKv</v>
      </c>
      <c r="AO143" s="79"/>
      <c r="AP143" s="81">
        <v>41679.44940972222</v>
      </c>
      <c r="AQ143" s="84" t="str">
        <f>HYPERLINK("https://pbs.twimg.com/profile_banners/2334920990/1533685113")</f>
        <v>https://pbs.twimg.com/profile_banners/2334920990/1533685113</v>
      </c>
      <c r="AR143" s="79" t="b">
        <v>0</v>
      </c>
      <c r="AS143" s="79" t="b">
        <v>0</v>
      </c>
      <c r="AT143" s="79" t="b">
        <v>1</v>
      </c>
      <c r="AU143" s="79"/>
      <c r="AV143" s="79">
        <v>162</v>
      </c>
      <c r="AW143" s="84" t="str">
        <f>HYPERLINK("https://abs.twimg.com/images/themes/theme14/bg.gif")</f>
        <v>https://abs.twimg.com/images/themes/theme14/bg.gif</v>
      </c>
      <c r="AX143" s="79" t="b">
        <v>0</v>
      </c>
      <c r="AY143" s="79" t="s">
        <v>1601</v>
      </c>
      <c r="AZ143" s="84" t="str">
        <f>HYPERLINK("https://twitter.com/makers_movement")</f>
        <v>https://twitter.com/makers_movement</v>
      </c>
      <c r="BA143" s="79" t="s">
        <v>66</v>
      </c>
      <c r="BB143" s="79" t="str">
        <f>REPLACE(INDEX(GroupVertices[Group],MATCH(Vertices[[#This Row],[Vertex]],GroupVertices[Vertex],0)),1,1,"")</f>
        <v>2</v>
      </c>
      <c r="BC143" s="49" t="s">
        <v>2256</v>
      </c>
      <c r="BD143" s="49" t="s">
        <v>2256</v>
      </c>
      <c r="BE143" s="49" t="s">
        <v>541</v>
      </c>
      <c r="BF143" s="49" t="s">
        <v>541</v>
      </c>
      <c r="BG143" s="49"/>
      <c r="BH143" s="49"/>
      <c r="BI143" s="108" t="s">
        <v>2323</v>
      </c>
      <c r="BJ143" s="108" t="s">
        <v>2323</v>
      </c>
      <c r="BK143" s="108" t="s">
        <v>2391</v>
      </c>
      <c r="BL143" s="108" t="s">
        <v>2391</v>
      </c>
      <c r="BM143" s="108">
        <v>1</v>
      </c>
      <c r="BN143" s="111">
        <v>2.7027027027027026</v>
      </c>
      <c r="BO143" s="108">
        <v>0</v>
      </c>
      <c r="BP143" s="111">
        <v>0</v>
      </c>
      <c r="BQ143" s="108">
        <v>0</v>
      </c>
      <c r="BR143" s="111">
        <v>0</v>
      </c>
      <c r="BS143" s="108">
        <v>36</v>
      </c>
      <c r="BT143" s="111">
        <v>97.29729729729729</v>
      </c>
      <c r="BU143" s="108">
        <v>37</v>
      </c>
      <c r="BV143" s="2"/>
      <c r="BW143" s="3"/>
      <c r="BX143" s="3"/>
      <c r="BY143" s="3"/>
      <c r="BZ143" s="3"/>
    </row>
    <row r="144" spans="1:78" ht="41.45" customHeight="1">
      <c r="A144" s="65" t="s">
        <v>339</v>
      </c>
      <c r="C144" s="66"/>
      <c r="D144" s="66" t="s">
        <v>64</v>
      </c>
      <c r="E144" s="67">
        <v>162.28202985491575</v>
      </c>
      <c r="F144" s="69"/>
      <c r="G144" s="103" t="str">
        <f>HYPERLINK("https://pbs.twimg.com/profile_images/1180240297294303232/plT_m6WJ_normal.jpg")</f>
        <v>https://pbs.twimg.com/profile_images/1180240297294303232/plT_m6WJ_normal.jpg</v>
      </c>
      <c r="H144" s="66"/>
      <c r="I144" s="70" t="s">
        <v>339</v>
      </c>
      <c r="J144" s="71"/>
      <c r="K144" s="71"/>
      <c r="L144" s="70" t="s">
        <v>1742</v>
      </c>
      <c r="M144" s="74">
        <v>1.215766089641372</v>
      </c>
      <c r="N144" s="75">
        <v>2998.492431640625</v>
      </c>
      <c r="O144" s="75">
        <v>2584.820068359375</v>
      </c>
      <c r="P144" s="76"/>
      <c r="Q144" s="77"/>
      <c r="R144" s="77"/>
      <c r="S144" s="89"/>
      <c r="T144" s="49">
        <v>1</v>
      </c>
      <c r="U144" s="49">
        <v>1</v>
      </c>
      <c r="V144" s="50">
        <v>0</v>
      </c>
      <c r="W144" s="50">
        <v>0</v>
      </c>
      <c r="X144" s="50">
        <v>0</v>
      </c>
      <c r="Y144" s="50">
        <v>0.999997</v>
      </c>
      <c r="Z144" s="50">
        <v>0</v>
      </c>
      <c r="AA144" s="50">
        <v>0</v>
      </c>
      <c r="AB144" s="72">
        <v>144</v>
      </c>
      <c r="AC144" s="72"/>
      <c r="AD144" s="73"/>
      <c r="AE144" s="79" t="s">
        <v>1149</v>
      </c>
      <c r="AF144" s="88" t="s">
        <v>1311</v>
      </c>
      <c r="AG144" s="79">
        <v>865</v>
      </c>
      <c r="AH144" s="79">
        <v>559</v>
      </c>
      <c r="AI144" s="79">
        <v>1171</v>
      </c>
      <c r="AJ144" s="79">
        <v>920</v>
      </c>
      <c r="AK144" s="79"/>
      <c r="AL144" s="79" t="s">
        <v>1471</v>
      </c>
      <c r="AM144" s="79" t="s">
        <v>1581</v>
      </c>
      <c r="AN144" s="84" t="str">
        <f>HYPERLINK("https://t.co/8TSpzywgOf")</f>
        <v>https://t.co/8TSpzywgOf</v>
      </c>
      <c r="AO144" s="79"/>
      <c r="AP144" s="81">
        <v>42534.79116898148</v>
      </c>
      <c r="AQ144" s="84" t="str">
        <f>HYPERLINK("https://pbs.twimg.com/profile_banners/742431162849734656/1570226193")</f>
        <v>https://pbs.twimg.com/profile_banners/742431162849734656/1570226193</v>
      </c>
      <c r="AR144" s="79" t="b">
        <v>1</v>
      </c>
      <c r="AS144" s="79" t="b">
        <v>0</v>
      </c>
      <c r="AT144" s="79" t="b">
        <v>0</v>
      </c>
      <c r="AU144" s="79"/>
      <c r="AV144" s="79">
        <v>4</v>
      </c>
      <c r="AW144" s="79"/>
      <c r="AX144" s="79" t="b">
        <v>0</v>
      </c>
      <c r="AY144" s="79" t="s">
        <v>1601</v>
      </c>
      <c r="AZ144" s="84" t="str">
        <f>HYPERLINK("https://twitter.com/vegansfacts")</f>
        <v>https://twitter.com/vegansfacts</v>
      </c>
      <c r="BA144" s="79" t="s">
        <v>66</v>
      </c>
      <c r="BB144" s="79" t="str">
        <f>REPLACE(INDEX(GroupVertices[Group],MATCH(Vertices[[#This Row],[Vertex]],GroupVertices[Vertex],0)),1,1,"")</f>
        <v>2</v>
      </c>
      <c r="BC144" s="49"/>
      <c r="BD144" s="49"/>
      <c r="BE144" s="49"/>
      <c r="BF144" s="49"/>
      <c r="BG144" s="49" t="s">
        <v>560</v>
      </c>
      <c r="BH144" s="49" t="s">
        <v>560</v>
      </c>
      <c r="BI144" s="108" t="s">
        <v>2324</v>
      </c>
      <c r="BJ144" s="108" t="s">
        <v>2324</v>
      </c>
      <c r="BK144" s="108" t="s">
        <v>2392</v>
      </c>
      <c r="BL144" s="108" t="s">
        <v>2392</v>
      </c>
      <c r="BM144" s="108">
        <v>0</v>
      </c>
      <c r="BN144" s="111">
        <v>0</v>
      </c>
      <c r="BO144" s="108">
        <v>0</v>
      </c>
      <c r="BP144" s="111">
        <v>0</v>
      </c>
      <c r="BQ144" s="108">
        <v>0</v>
      </c>
      <c r="BR144" s="111">
        <v>0</v>
      </c>
      <c r="BS144" s="108">
        <v>15</v>
      </c>
      <c r="BT144" s="111">
        <v>100</v>
      </c>
      <c r="BU144" s="108">
        <v>15</v>
      </c>
      <c r="BV144" s="2"/>
      <c r="BW144" s="3"/>
      <c r="BX144" s="3"/>
      <c r="BY144" s="3"/>
      <c r="BZ144" s="3"/>
    </row>
    <row r="145" spans="1:78" ht="41.45" customHeight="1">
      <c r="A145" s="65" t="s">
        <v>340</v>
      </c>
      <c r="C145" s="66"/>
      <c r="D145" s="66" t="s">
        <v>64</v>
      </c>
      <c r="E145" s="67">
        <v>162</v>
      </c>
      <c r="F145" s="69"/>
      <c r="G145" s="103" t="str">
        <f>HYPERLINK("https://pbs.twimg.com/profile_images/1447267260033224704/XlKckFsW_normal.jpg")</f>
        <v>https://pbs.twimg.com/profile_images/1447267260033224704/XlKckFsW_normal.jpg</v>
      </c>
      <c r="H145" s="66"/>
      <c r="I145" s="70" t="s">
        <v>340</v>
      </c>
      <c r="J145" s="71"/>
      <c r="K145" s="71"/>
      <c r="L145" s="70" t="s">
        <v>1743</v>
      </c>
      <c r="M145" s="74">
        <v>1</v>
      </c>
      <c r="N145" s="75">
        <v>667.8076171875</v>
      </c>
      <c r="O145" s="75">
        <v>3304.643310546875</v>
      </c>
      <c r="P145" s="76"/>
      <c r="Q145" s="77"/>
      <c r="R145" s="77"/>
      <c r="S145" s="89"/>
      <c r="T145" s="49">
        <v>1</v>
      </c>
      <c r="U145" s="49">
        <v>1</v>
      </c>
      <c r="V145" s="50">
        <v>0</v>
      </c>
      <c r="W145" s="50">
        <v>0</v>
      </c>
      <c r="X145" s="50">
        <v>0</v>
      </c>
      <c r="Y145" s="50">
        <v>0.999997</v>
      </c>
      <c r="Z145" s="50">
        <v>0</v>
      </c>
      <c r="AA145" s="50">
        <v>0</v>
      </c>
      <c r="AB145" s="72">
        <v>145</v>
      </c>
      <c r="AC145" s="72"/>
      <c r="AD145" s="73"/>
      <c r="AE145" s="79" t="s">
        <v>1150</v>
      </c>
      <c r="AF145" s="88" t="s">
        <v>962</v>
      </c>
      <c r="AG145" s="79">
        <v>2</v>
      </c>
      <c r="AH145" s="79">
        <v>0</v>
      </c>
      <c r="AI145" s="79">
        <v>8</v>
      </c>
      <c r="AJ145" s="79">
        <v>0</v>
      </c>
      <c r="AK145" s="79"/>
      <c r="AL145" s="79" t="s">
        <v>1472</v>
      </c>
      <c r="AM145" s="79" t="s">
        <v>1582</v>
      </c>
      <c r="AN145" s="79"/>
      <c r="AO145" s="79"/>
      <c r="AP145" s="81">
        <v>44479.74050925926</v>
      </c>
      <c r="AQ145" s="84" t="str">
        <f>HYPERLINK("https://pbs.twimg.com/profile_banners/1447257143657127939/1633896947")</f>
        <v>https://pbs.twimg.com/profile_banners/1447257143657127939/1633896947</v>
      </c>
      <c r="AR145" s="79" t="b">
        <v>1</v>
      </c>
      <c r="AS145" s="79" t="b">
        <v>0</v>
      </c>
      <c r="AT145" s="79" t="b">
        <v>0</v>
      </c>
      <c r="AU145" s="79"/>
      <c r="AV145" s="79">
        <v>0</v>
      </c>
      <c r="AW145" s="79"/>
      <c r="AX145" s="79" t="b">
        <v>0</v>
      </c>
      <c r="AY145" s="79" t="s">
        <v>1601</v>
      </c>
      <c r="AZ145" s="84" t="str">
        <f>HYPERLINK("https://twitter.com/kobergcapital")</f>
        <v>https://twitter.com/kobergcapital</v>
      </c>
      <c r="BA145" s="79" t="s">
        <v>66</v>
      </c>
      <c r="BB145" s="79" t="str">
        <f>REPLACE(INDEX(GroupVertices[Group],MATCH(Vertices[[#This Row],[Vertex]],GroupVertices[Vertex],0)),1,1,"")</f>
        <v>2</v>
      </c>
      <c r="BC145" s="49"/>
      <c r="BD145" s="49"/>
      <c r="BE145" s="49"/>
      <c r="BF145" s="49"/>
      <c r="BG145" s="49"/>
      <c r="BH145" s="49"/>
      <c r="BI145" s="108" t="s">
        <v>2325</v>
      </c>
      <c r="BJ145" s="108" t="s">
        <v>2325</v>
      </c>
      <c r="BK145" s="108" t="s">
        <v>2393</v>
      </c>
      <c r="BL145" s="108" t="s">
        <v>2393</v>
      </c>
      <c r="BM145" s="108">
        <v>4</v>
      </c>
      <c r="BN145" s="111">
        <v>11.764705882352942</v>
      </c>
      <c r="BO145" s="108">
        <v>0</v>
      </c>
      <c r="BP145" s="111">
        <v>0</v>
      </c>
      <c r="BQ145" s="108">
        <v>0</v>
      </c>
      <c r="BR145" s="111">
        <v>0</v>
      </c>
      <c r="BS145" s="108">
        <v>30</v>
      </c>
      <c r="BT145" s="111">
        <v>88.23529411764706</v>
      </c>
      <c r="BU145" s="108">
        <v>34</v>
      </c>
      <c r="BV145" s="2"/>
      <c r="BW145" s="3"/>
      <c r="BX145" s="3"/>
      <c r="BY145" s="3"/>
      <c r="BZ145" s="3"/>
    </row>
    <row r="146" spans="1:78" ht="41.45" customHeight="1">
      <c r="A146" s="65" t="s">
        <v>396</v>
      </c>
      <c r="C146" s="66"/>
      <c r="D146" s="66" t="s">
        <v>64</v>
      </c>
      <c r="E146" s="67">
        <v>162.58474526269652</v>
      </c>
      <c r="F146" s="69"/>
      <c r="G146" s="103" t="str">
        <f>HYPERLINK("https://pbs.twimg.com/profile_images/967880423056420864/Ifwh_U3S_normal.jpg")</f>
        <v>https://pbs.twimg.com/profile_images/967880423056420864/Ifwh_U3S_normal.jpg</v>
      </c>
      <c r="H146" s="66"/>
      <c r="I146" s="70" t="s">
        <v>396</v>
      </c>
      <c r="J146" s="71"/>
      <c r="K146" s="71"/>
      <c r="L146" s="70" t="s">
        <v>1744</v>
      </c>
      <c r="M146" s="74">
        <v>1.4473575990954388</v>
      </c>
      <c r="N146" s="75">
        <v>1231.96923828125</v>
      </c>
      <c r="O146" s="75">
        <v>4449.81689453125</v>
      </c>
      <c r="P146" s="76"/>
      <c r="Q146" s="77"/>
      <c r="R146" s="77"/>
      <c r="S146" s="89"/>
      <c r="T146" s="49">
        <v>1</v>
      </c>
      <c r="U146" s="49">
        <v>0</v>
      </c>
      <c r="V146" s="50">
        <v>0</v>
      </c>
      <c r="W146" s="50">
        <v>0.004608</v>
      </c>
      <c r="X146" s="50">
        <v>0.001813</v>
      </c>
      <c r="Y146" s="50">
        <v>0.288891</v>
      </c>
      <c r="Z146" s="50">
        <v>0</v>
      </c>
      <c r="AA146" s="50">
        <v>0</v>
      </c>
      <c r="AB146" s="72">
        <v>146</v>
      </c>
      <c r="AC146" s="72"/>
      <c r="AD146" s="73"/>
      <c r="AE146" s="79" t="s">
        <v>1151</v>
      </c>
      <c r="AF146" s="88" t="s">
        <v>1312</v>
      </c>
      <c r="AG146" s="79">
        <v>300</v>
      </c>
      <c r="AH146" s="79">
        <v>1159</v>
      </c>
      <c r="AI146" s="79">
        <v>908</v>
      </c>
      <c r="AJ146" s="79">
        <v>1409</v>
      </c>
      <c r="AK146" s="79"/>
      <c r="AL146" s="79" t="s">
        <v>1473</v>
      </c>
      <c r="AM146" s="79" t="s">
        <v>1583</v>
      </c>
      <c r="AN146" s="84" t="str">
        <f>HYPERLINK("https://t.co/O2PyIlhJLa")</f>
        <v>https://t.co/O2PyIlhJLa</v>
      </c>
      <c r="AO146" s="79"/>
      <c r="AP146" s="81">
        <v>42786.9940162037</v>
      </c>
      <c r="AQ146" s="84" t="str">
        <f>HYPERLINK("https://pbs.twimg.com/profile_banners/833826412880551936/1487636643")</f>
        <v>https://pbs.twimg.com/profile_banners/833826412880551936/1487636643</v>
      </c>
      <c r="AR146" s="79" t="b">
        <v>1</v>
      </c>
      <c r="AS146" s="79" t="b">
        <v>0</v>
      </c>
      <c r="AT146" s="79" t="b">
        <v>1</v>
      </c>
      <c r="AU146" s="79"/>
      <c r="AV146" s="79">
        <v>12</v>
      </c>
      <c r="AW146" s="79"/>
      <c r="AX146" s="79" t="b">
        <v>0</v>
      </c>
      <c r="AY146" s="79" t="s">
        <v>1601</v>
      </c>
      <c r="AZ146" s="84" t="str">
        <f>HYPERLINK("https://twitter.com/pacificoaqua_bc")</f>
        <v>https://twitter.com/pacificoaqua_bc</v>
      </c>
      <c r="BA146" s="79" t="s">
        <v>65</v>
      </c>
      <c r="BB146" s="79" t="str">
        <f>REPLACE(INDEX(GroupVertices[Group],MATCH(Vertices[[#This Row],[Vertex]],GroupVertices[Vertex],0)),1,1,"")</f>
        <v>1</v>
      </c>
      <c r="BC146" s="49"/>
      <c r="BD146" s="49"/>
      <c r="BE146" s="49"/>
      <c r="BF146" s="49"/>
      <c r="BG146" s="49"/>
      <c r="BH146" s="49"/>
      <c r="BI146" s="49"/>
      <c r="BJ146" s="49"/>
      <c r="BK146" s="49"/>
      <c r="BL146" s="49"/>
      <c r="BM146" s="49"/>
      <c r="BN146" s="50"/>
      <c r="BO146" s="49"/>
      <c r="BP146" s="50"/>
      <c r="BQ146" s="49"/>
      <c r="BR146" s="50"/>
      <c r="BS146" s="49"/>
      <c r="BT146" s="50"/>
      <c r="BU146" s="49"/>
      <c r="BV146" s="2"/>
      <c r="BW146" s="3"/>
      <c r="BX146" s="3"/>
      <c r="BY146" s="3"/>
      <c r="BZ146" s="3"/>
    </row>
    <row r="147" spans="1:78" ht="41.45" customHeight="1">
      <c r="A147" s="65" t="s">
        <v>343</v>
      </c>
      <c r="C147" s="66"/>
      <c r="D147" s="66" t="s">
        <v>64</v>
      </c>
      <c r="E147" s="67">
        <v>162.08274221146007</v>
      </c>
      <c r="F147" s="69"/>
      <c r="G147" s="103" t="str">
        <f>HYPERLINK("https://pbs.twimg.com/profile_images/842734129359679488/t5zxgDx8_normal.jpg")</f>
        <v>https://pbs.twimg.com/profile_images/842734129359679488/t5zxgDx8_normal.jpg</v>
      </c>
      <c r="H147" s="66"/>
      <c r="I147" s="70" t="s">
        <v>343</v>
      </c>
      <c r="J147" s="71"/>
      <c r="K147" s="71"/>
      <c r="L147" s="70" t="s">
        <v>1745</v>
      </c>
      <c r="M147" s="74">
        <v>1.0633016792507783</v>
      </c>
      <c r="N147" s="75">
        <v>2998.492431640625</v>
      </c>
      <c r="O147" s="75">
        <v>3304.643310546875</v>
      </c>
      <c r="P147" s="76"/>
      <c r="Q147" s="77"/>
      <c r="R147" s="77"/>
      <c r="S147" s="89"/>
      <c r="T147" s="49">
        <v>1</v>
      </c>
      <c r="U147" s="49">
        <v>1</v>
      </c>
      <c r="V147" s="50">
        <v>0</v>
      </c>
      <c r="W147" s="50">
        <v>0</v>
      </c>
      <c r="X147" s="50">
        <v>0</v>
      </c>
      <c r="Y147" s="50">
        <v>0.999997</v>
      </c>
      <c r="Z147" s="50">
        <v>0</v>
      </c>
      <c r="AA147" s="50">
        <v>0</v>
      </c>
      <c r="AB147" s="72">
        <v>147</v>
      </c>
      <c r="AC147" s="72"/>
      <c r="AD147" s="73"/>
      <c r="AE147" s="79" t="s">
        <v>1152</v>
      </c>
      <c r="AF147" s="88" t="s">
        <v>1313</v>
      </c>
      <c r="AG147" s="79">
        <v>202</v>
      </c>
      <c r="AH147" s="79">
        <v>164</v>
      </c>
      <c r="AI147" s="79">
        <v>3432</v>
      </c>
      <c r="AJ147" s="79">
        <v>59</v>
      </c>
      <c r="AK147" s="79"/>
      <c r="AL147" s="79" t="s">
        <v>1474</v>
      </c>
      <c r="AM147" s="79" t="s">
        <v>1584</v>
      </c>
      <c r="AN147" s="84" t="str">
        <f>HYPERLINK("https://t.co/lF6SVhX9OG")</f>
        <v>https://t.co/lF6SVhX9OG</v>
      </c>
      <c r="AO147" s="79"/>
      <c r="AP147" s="81">
        <v>42811.55855324074</v>
      </c>
      <c r="AQ147" s="84" t="str">
        <f>HYPERLINK("https://pbs.twimg.com/profile_banners/842728303660158977/1489758428")</f>
        <v>https://pbs.twimg.com/profile_banners/842728303660158977/1489758428</v>
      </c>
      <c r="AR147" s="79" t="b">
        <v>0</v>
      </c>
      <c r="AS147" s="79" t="b">
        <v>0</v>
      </c>
      <c r="AT147" s="79" t="b">
        <v>0</v>
      </c>
      <c r="AU147" s="79"/>
      <c r="AV147" s="79">
        <v>15</v>
      </c>
      <c r="AW147" s="84" t="str">
        <f>HYPERLINK("https://abs.twimg.com/images/themes/theme1/bg.png")</f>
        <v>https://abs.twimg.com/images/themes/theme1/bg.png</v>
      </c>
      <c r="AX147" s="79" t="b">
        <v>0</v>
      </c>
      <c r="AY147" s="79" t="s">
        <v>1601</v>
      </c>
      <c r="AZ147" s="84" t="str">
        <f>HYPERLINK("https://twitter.com/leongreyco")</f>
        <v>https://twitter.com/leongreyco</v>
      </c>
      <c r="BA147" s="79" t="s">
        <v>66</v>
      </c>
      <c r="BB147" s="79" t="str">
        <f>REPLACE(INDEX(GroupVertices[Group],MATCH(Vertices[[#This Row],[Vertex]],GroupVertices[Vertex],0)),1,1,"")</f>
        <v>2</v>
      </c>
      <c r="BC147" s="49" t="s">
        <v>2257</v>
      </c>
      <c r="BD147" s="49" t="s">
        <v>2257</v>
      </c>
      <c r="BE147" s="49" t="s">
        <v>542</v>
      </c>
      <c r="BF147" s="49" t="s">
        <v>542</v>
      </c>
      <c r="BG147" s="49" t="s">
        <v>561</v>
      </c>
      <c r="BH147" s="49" t="s">
        <v>561</v>
      </c>
      <c r="BI147" s="108" t="s">
        <v>2326</v>
      </c>
      <c r="BJ147" s="108" t="s">
        <v>2326</v>
      </c>
      <c r="BK147" s="108" t="s">
        <v>2394</v>
      </c>
      <c r="BL147" s="108" t="s">
        <v>2394</v>
      </c>
      <c r="BM147" s="108">
        <v>0</v>
      </c>
      <c r="BN147" s="111">
        <v>0</v>
      </c>
      <c r="BO147" s="108">
        <v>1</v>
      </c>
      <c r="BP147" s="111">
        <v>5.555555555555555</v>
      </c>
      <c r="BQ147" s="108">
        <v>0</v>
      </c>
      <c r="BR147" s="111">
        <v>0</v>
      </c>
      <c r="BS147" s="108">
        <v>17</v>
      </c>
      <c r="BT147" s="111">
        <v>94.44444444444444</v>
      </c>
      <c r="BU147" s="108">
        <v>18</v>
      </c>
      <c r="BV147" s="2"/>
      <c r="BW147" s="3"/>
      <c r="BX147" s="3"/>
      <c r="BY147" s="3"/>
      <c r="BZ147" s="3"/>
    </row>
    <row r="148" spans="1:78" ht="41.45" customHeight="1">
      <c r="A148" s="65" t="s">
        <v>344</v>
      </c>
      <c r="C148" s="66"/>
      <c r="D148" s="66" t="s">
        <v>64</v>
      </c>
      <c r="E148" s="67">
        <v>162.1498441268515</v>
      </c>
      <c r="F148" s="69"/>
      <c r="G148" s="103" t="str">
        <f>HYPERLINK("https://pbs.twimg.com/profile_images/1290760502059048960/2-vVagmU_normal.jpg")</f>
        <v>https://pbs.twimg.com/profile_images/1290760502059048960/2-vVagmU_normal.jpg</v>
      </c>
      <c r="H148" s="66"/>
      <c r="I148" s="70" t="s">
        <v>344</v>
      </c>
      <c r="J148" s="71"/>
      <c r="K148" s="71"/>
      <c r="L148" s="70" t="s">
        <v>1746</v>
      </c>
      <c r="M148" s="74">
        <v>1.114637797179763</v>
      </c>
      <c r="N148" s="75">
        <v>4704.482421875</v>
      </c>
      <c r="O148" s="75">
        <v>4659.2197265625</v>
      </c>
      <c r="P148" s="76"/>
      <c r="Q148" s="77"/>
      <c r="R148" s="77"/>
      <c r="S148" s="89"/>
      <c r="T148" s="49">
        <v>0</v>
      </c>
      <c r="U148" s="49">
        <v>1</v>
      </c>
      <c r="V148" s="50">
        <v>0</v>
      </c>
      <c r="W148" s="50">
        <v>0.004608</v>
      </c>
      <c r="X148" s="50">
        <v>5.1E-05</v>
      </c>
      <c r="Y148" s="50">
        <v>0.436883</v>
      </c>
      <c r="Z148" s="50">
        <v>0</v>
      </c>
      <c r="AA148" s="50">
        <v>0</v>
      </c>
      <c r="AB148" s="72">
        <v>148</v>
      </c>
      <c r="AC148" s="72"/>
      <c r="AD148" s="73"/>
      <c r="AE148" s="79" t="s">
        <v>1153</v>
      </c>
      <c r="AF148" s="88" t="s">
        <v>1314</v>
      </c>
      <c r="AG148" s="79">
        <v>256</v>
      </c>
      <c r="AH148" s="79">
        <v>297</v>
      </c>
      <c r="AI148" s="79">
        <v>1909</v>
      </c>
      <c r="AJ148" s="79">
        <v>4708</v>
      </c>
      <c r="AK148" s="79"/>
      <c r="AL148" s="79" t="s">
        <v>1475</v>
      </c>
      <c r="AM148" s="79"/>
      <c r="AN148" s="84" t="str">
        <f>HYPERLINK("https://t.co/M4px8yk4GG")</f>
        <v>https://t.co/M4px8yk4GG</v>
      </c>
      <c r="AO148" s="79"/>
      <c r="AP148" s="81">
        <v>42136.864166666666</v>
      </c>
      <c r="AQ148" s="79"/>
      <c r="AR148" s="79" t="b">
        <v>1</v>
      </c>
      <c r="AS148" s="79" t="b">
        <v>0</v>
      </c>
      <c r="AT148" s="79" t="b">
        <v>0</v>
      </c>
      <c r="AU148" s="79"/>
      <c r="AV148" s="79">
        <v>6</v>
      </c>
      <c r="AW148" s="84" t="str">
        <f>HYPERLINK("https://abs.twimg.com/images/themes/theme1/bg.png")</f>
        <v>https://abs.twimg.com/images/themes/theme1/bg.png</v>
      </c>
      <c r="AX148" s="79" t="b">
        <v>0</v>
      </c>
      <c r="AY148" s="79" t="s">
        <v>1601</v>
      </c>
      <c r="AZ148" s="84" t="str">
        <f>HYPERLINK("https://twitter.com/davehansford4")</f>
        <v>https://twitter.com/davehansford4</v>
      </c>
      <c r="BA148" s="79" t="s">
        <v>66</v>
      </c>
      <c r="BB148" s="79" t="str">
        <f>REPLACE(INDEX(GroupVertices[Group],MATCH(Vertices[[#This Row],[Vertex]],GroupVertices[Vertex],0)),1,1,"")</f>
        <v>3</v>
      </c>
      <c r="BC148" s="49" t="s">
        <v>1851</v>
      </c>
      <c r="BD148" s="49" t="s">
        <v>1851</v>
      </c>
      <c r="BE148" s="49" t="s">
        <v>525</v>
      </c>
      <c r="BF148" s="49" t="s">
        <v>525</v>
      </c>
      <c r="BG148" s="49"/>
      <c r="BH148" s="49"/>
      <c r="BI148" s="108" t="s">
        <v>2327</v>
      </c>
      <c r="BJ148" s="108" t="s">
        <v>2327</v>
      </c>
      <c r="BK148" s="108" t="s">
        <v>2395</v>
      </c>
      <c r="BL148" s="108" t="s">
        <v>2395</v>
      </c>
      <c r="BM148" s="108">
        <v>2</v>
      </c>
      <c r="BN148" s="111">
        <v>5.405405405405405</v>
      </c>
      <c r="BO148" s="108">
        <v>0</v>
      </c>
      <c r="BP148" s="111">
        <v>0</v>
      </c>
      <c r="BQ148" s="108">
        <v>0</v>
      </c>
      <c r="BR148" s="111">
        <v>0</v>
      </c>
      <c r="BS148" s="108">
        <v>35</v>
      </c>
      <c r="BT148" s="111">
        <v>94.5945945945946</v>
      </c>
      <c r="BU148" s="108">
        <v>37</v>
      </c>
      <c r="BV148" s="2"/>
      <c r="BW148" s="3"/>
      <c r="BX148" s="3"/>
      <c r="BY148" s="3"/>
      <c r="BZ148" s="3"/>
    </row>
    <row r="149" spans="1:78" ht="41.45" customHeight="1">
      <c r="A149" s="65" t="s">
        <v>353</v>
      </c>
      <c r="C149" s="66"/>
      <c r="D149" s="66" t="s">
        <v>64</v>
      </c>
      <c r="E149" s="67">
        <v>166.96251458488615</v>
      </c>
      <c r="F149" s="69"/>
      <c r="G149" s="103" t="str">
        <f>HYPERLINK("https://pbs.twimg.com/profile_images/1179580239334100993/fxNXEe4I_normal.jpg")</f>
        <v>https://pbs.twimg.com/profile_images/1179580239334100993/fxNXEe4I_normal.jpg</v>
      </c>
      <c r="H149" s="66"/>
      <c r="I149" s="70" t="s">
        <v>353</v>
      </c>
      <c r="J149" s="71"/>
      <c r="K149" s="71"/>
      <c r="L149" s="70" t="s">
        <v>1747</v>
      </c>
      <c r="M149" s="74">
        <v>4.796556811650333</v>
      </c>
      <c r="N149" s="75">
        <v>4471.72705078125</v>
      </c>
      <c r="O149" s="75">
        <v>5559.6669921875</v>
      </c>
      <c r="P149" s="76"/>
      <c r="Q149" s="77"/>
      <c r="R149" s="77"/>
      <c r="S149" s="89"/>
      <c r="T149" s="49">
        <v>3</v>
      </c>
      <c r="U149" s="49">
        <v>1</v>
      </c>
      <c r="V149" s="50">
        <v>112</v>
      </c>
      <c r="W149" s="50">
        <v>0.006211</v>
      </c>
      <c r="X149" s="50">
        <v>0.00062</v>
      </c>
      <c r="Y149" s="50">
        <v>1.012528</v>
      </c>
      <c r="Z149" s="50">
        <v>0</v>
      </c>
      <c r="AA149" s="50">
        <v>0</v>
      </c>
      <c r="AB149" s="72">
        <v>149</v>
      </c>
      <c r="AC149" s="72"/>
      <c r="AD149" s="73"/>
      <c r="AE149" s="79" t="s">
        <v>1154</v>
      </c>
      <c r="AF149" s="88" t="s">
        <v>1315</v>
      </c>
      <c r="AG149" s="79">
        <v>9254</v>
      </c>
      <c r="AH149" s="79">
        <v>9836</v>
      </c>
      <c r="AI149" s="79">
        <v>20847</v>
      </c>
      <c r="AJ149" s="79">
        <v>76426</v>
      </c>
      <c r="AK149" s="79"/>
      <c r="AL149" s="79" t="s">
        <v>1476</v>
      </c>
      <c r="AM149" s="79" t="s">
        <v>1585</v>
      </c>
      <c r="AN149" s="79"/>
      <c r="AO149" s="79"/>
      <c r="AP149" s="81">
        <v>40083.061215277776</v>
      </c>
      <c r="AQ149" s="84" t="str">
        <f>HYPERLINK("https://pbs.twimg.com/profile_banners/77626182/1566420523")</f>
        <v>https://pbs.twimg.com/profile_banners/77626182/1566420523</v>
      </c>
      <c r="AR149" s="79" t="b">
        <v>1</v>
      </c>
      <c r="AS149" s="79" t="b">
        <v>0</v>
      </c>
      <c r="AT149" s="79" t="b">
        <v>0</v>
      </c>
      <c r="AU149" s="79"/>
      <c r="AV149" s="79">
        <v>42</v>
      </c>
      <c r="AW149" s="84" t="str">
        <f>HYPERLINK("https://abs.twimg.com/images/themes/theme1/bg.png")</f>
        <v>https://abs.twimg.com/images/themes/theme1/bg.png</v>
      </c>
      <c r="AX149" s="79" t="b">
        <v>0</v>
      </c>
      <c r="AY149" s="79" t="s">
        <v>1601</v>
      </c>
      <c r="AZ149" s="84" t="str">
        <f>HYPERLINK("https://twitter.com/skryb")</f>
        <v>https://twitter.com/skryb</v>
      </c>
      <c r="BA149" s="79" t="s">
        <v>66</v>
      </c>
      <c r="BB149" s="79" t="str">
        <f>REPLACE(INDEX(GroupVertices[Group],MATCH(Vertices[[#This Row],[Vertex]],GroupVertices[Vertex],0)),1,1,"")</f>
        <v>3</v>
      </c>
      <c r="BC149" s="49" t="s">
        <v>1851</v>
      </c>
      <c r="BD149" s="49" t="s">
        <v>1851</v>
      </c>
      <c r="BE149" s="49" t="s">
        <v>525</v>
      </c>
      <c r="BF149" s="49" t="s">
        <v>525</v>
      </c>
      <c r="BG149" s="49"/>
      <c r="BH149" s="49"/>
      <c r="BI149" s="108" t="s">
        <v>2327</v>
      </c>
      <c r="BJ149" s="108" t="s">
        <v>2327</v>
      </c>
      <c r="BK149" s="108" t="s">
        <v>2395</v>
      </c>
      <c r="BL149" s="108" t="s">
        <v>2395</v>
      </c>
      <c r="BM149" s="108">
        <v>2</v>
      </c>
      <c r="BN149" s="111">
        <v>5.405405405405405</v>
      </c>
      <c r="BO149" s="108">
        <v>0</v>
      </c>
      <c r="BP149" s="111">
        <v>0</v>
      </c>
      <c r="BQ149" s="108">
        <v>0</v>
      </c>
      <c r="BR149" s="111">
        <v>0</v>
      </c>
      <c r="BS149" s="108">
        <v>35</v>
      </c>
      <c r="BT149" s="111">
        <v>94.5945945945946</v>
      </c>
      <c r="BU149" s="108">
        <v>37</v>
      </c>
      <c r="BV149" s="2"/>
      <c r="BW149" s="3"/>
      <c r="BX149" s="3"/>
      <c r="BY149" s="3"/>
      <c r="BZ149" s="3"/>
    </row>
    <row r="150" spans="1:78" ht="41.45" customHeight="1">
      <c r="A150" s="65" t="s">
        <v>345</v>
      </c>
      <c r="C150" s="66"/>
      <c r="D150" s="66" t="s">
        <v>64</v>
      </c>
      <c r="E150" s="67">
        <v>162.13571740782172</v>
      </c>
      <c r="F150" s="69"/>
      <c r="G150" s="103" t="str">
        <f>HYPERLINK("https://pbs.twimg.com/profile_images/1336916721060417537/gYRNf3h-_normal.jpg")</f>
        <v>https://pbs.twimg.com/profile_images/1336916721060417537/gYRNf3h-_normal.jpg</v>
      </c>
      <c r="H150" s="66"/>
      <c r="I150" s="70" t="s">
        <v>345</v>
      </c>
      <c r="J150" s="71"/>
      <c r="K150" s="71"/>
      <c r="L150" s="70" t="s">
        <v>1748</v>
      </c>
      <c r="M150" s="74">
        <v>1.10383019340524</v>
      </c>
      <c r="N150" s="75">
        <v>5811.01318359375</v>
      </c>
      <c r="O150" s="75">
        <v>1387.2957763671875</v>
      </c>
      <c r="P150" s="76"/>
      <c r="Q150" s="77"/>
      <c r="R150" s="77"/>
      <c r="S150" s="89"/>
      <c r="T150" s="49">
        <v>0</v>
      </c>
      <c r="U150" s="49">
        <v>4</v>
      </c>
      <c r="V150" s="50">
        <v>12</v>
      </c>
      <c r="W150" s="50">
        <v>0.25</v>
      </c>
      <c r="X150" s="50">
        <v>0</v>
      </c>
      <c r="Y150" s="50">
        <v>2.378371</v>
      </c>
      <c r="Z150" s="50">
        <v>0</v>
      </c>
      <c r="AA150" s="50">
        <v>0</v>
      </c>
      <c r="AB150" s="72">
        <v>150</v>
      </c>
      <c r="AC150" s="72"/>
      <c r="AD150" s="73"/>
      <c r="AE150" s="79" t="s">
        <v>1155</v>
      </c>
      <c r="AF150" s="88" t="s">
        <v>963</v>
      </c>
      <c r="AG150" s="79">
        <v>699</v>
      </c>
      <c r="AH150" s="79">
        <v>269</v>
      </c>
      <c r="AI150" s="79">
        <v>2037</v>
      </c>
      <c r="AJ150" s="79">
        <v>19607</v>
      </c>
      <c r="AK150" s="79"/>
      <c r="AL150" s="79" t="s">
        <v>1477</v>
      </c>
      <c r="AM150" s="79" t="s">
        <v>1586</v>
      </c>
      <c r="AN150" s="84" t="str">
        <f>HYPERLINK("https://t.co/q1toSVuAnY")</f>
        <v>https://t.co/q1toSVuAnY</v>
      </c>
      <c r="AO150" s="79"/>
      <c r="AP150" s="81">
        <v>42033.695625</v>
      </c>
      <c r="AQ150" s="84" t="str">
        <f>HYPERLINK("https://pbs.twimg.com/profile_banners/3001694750/1607581049")</f>
        <v>https://pbs.twimg.com/profile_banners/3001694750/1607581049</v>
      </c>
      <c r="AR150" s="79" t="b">
        <v>0</v>
      </c>
      <c r="AS150" s="79" t="b">
        <v>0</v>
      </c>
      <c r="AT150" s="79" t="b">
        <v>1</v>
      </c>
      <c r="AU150" s="79"/>
      <c r="AV150" s="79">
        <v>3</v>
      </c>
      <c r="AW150" s="84" t="str">
        <f>HYPERLINK("https://abs.twimg.com/images/themes/theme18/bg.gif")</f>
        <v>https://abs.twimg.com/images/themes/theme18/bg.gif</v>
      </c>
      <c r="AX150" s="79" t="b">
        <v>0</v>
      </c>
      <c r="AY150" s="79" t="s">
        <v>1601</v>
      </c>
      <c r="AZ150" s="84" t="str">
        <f>HYPERLINK("https://twitter.com/sethduma")</f>
        <v>https://twitter.com/sethduma</v>
      </c>
      <c r="BA150" s="79" t="s">
        <v>66</v>
      </c>
      <c r="BB150" s="79" t="str">
        <f>REPLACE(INDEX(GroupVertices[Group],MATCH(Vertices[[#This Row],[Vertex]],GroupVertices[Vertex],0)),1,1,"")</f>
        <v>11</v>
      </c>
      <c r="BC150" s="49"/>
      <c r="BD150" s="49"/>
      <c r="BE150" s="49"/>
      <c r="BF150" s="49"/>
      <c r="BG150" s="49"/>
      <c r="BH150" s="49"/>
      <c r="BI150" s="108" t="s">
        <v>2328</v>
      </c>
      <c r="BJ150" s="108" t="s">
        <v>2328</v>
      </c>
      <c r="BK150" s="108" t="s">
        <v>2396</v>
      </c>
      <c r="BL150" s="108" t="s">
        <v>2396</v>
      </c>
      <c r="BM150" s="108">
        <v>0</v>
      </c>
      <c r="BN150" s="111">
        <v>0</v>
      </c>
      <c r="BO150" s="108">
        <v>1</v>
      </c>
      <c r="BP150" s="111">
        <v>1.6129032258064515</v>
      </c>
      <c r="BQ150" s="108">
        <v>0</v>
      </c>
      <c r="BR150" s="111">
        <v>0</v>
      </c>
      <c r="BS150" s="108">
        <v>61</v>
      </c>
      <c r="BT150" s="111">
        <v>98.38709677419355</v>
      </c>
      <c r="BU150" s="108">
        <v>62</v>
      </c>
      <c r="BV150" s="2"/>
      <c r="BW150" s="3"/>
      <c r="BX150" s="3"/>
      <c r="BY150" s="3"/>
      <c r="BZ150" s="3"/>
    </row>
    <row r="151" spans="1:78" ht="41.45" customHeight="1">
      <c r="A151" s="65" t="s">
        <v>397</v>
      </c>
      <c r="C151" s="66"/>
      <c r="D151" s="66" t="s">
        <v>64</v>
      </c>
      <c r="E151" s="67">
        <v>176.7094461897474</v>
      </c>
      <c r="F151" s="69"/>
      <c r="G151" s="103" t="str">
        <f>HYPERLINK("https://pbs.twimg.com/profile_images/1045583316781600768/h0GcOyli_normal.jpg")</f>
        <v>https://pbs.twimg.com/profile_images/1045583316781600768/h0GcOyli_normal.jpg</v>
      </c>
      <c r="H151" s="66"/>
      <c r="I151" s="70" t="s">
        <v>397</v>
      </c>
      <c r="J151" s="71"/>
      <c r="K151" s="71"/>
      <c r="L151" s="70" t="s">
        <v>1749</v>
      </c>
      <c r="M151" s="74">
        <v>12.253417430222191</v>
      </c>
      <c r="N151" s="75">
        <v>6025.31103515625</v>
      </c>
      <c r="O151" s="75">
        <v>1989.329833984375</v>
      </c>
      <c r="P151" s="76"/>
      <c r="Q151" s="77"/>
      <c r="R151" s="77"/>
      <c r="S151" s="89"/>
      <c r="T151" s="49">
        <v>1</v>
      </c>
      <c r="U151" s="49">
        <v>0</v>
      </c>
      <c r="V151" s="50">
        <v>0</v>
      </c>
      <c r="W151" s="50">
        <v>0.142857</v>
      </c>
      <c r="X151" s="50">
        <v>0</v>
      </c>
      <c r="Y151" s="50">
        <v>0.655403</v>
      </c>
      <c r="Z151" s="50">
        <v>0</v>
      </c>
      <c r="AA151" s="50">
        <v>0</v>
      </c>
      <c r="AB151" s="72">
        <v>151</v>
      </c>
      <c r="AC151" s="72"/>
      <c r="AD151" s="73"/>
      <c r="AE151" s="79" t="s">
        <v>1156</v>
      </c>
      <c r="AF151" s="88" t="s">
        <v>1316</v>
      </c>
      <c r="AG151" s="79">
        <v>3148</v>
      </c>
      <c r="AH151" s="79">
        <v>29155</v>
      </c>
      <c r="AI151" s="79">
        <v>23283</v>
      </c>
      <c r="AJ151" s="79">
        <v>22536</v>
      </c>
      <c r="AK151" s="79"/>
      <c r="AL151" s="79" t="s">
        <v>1478</v>
      </c>
      <c r="AM151" s="79" t="s">
        <v>1587</v>
      </c>
      <c r="AN151" s="84" t="str">
        <f>HYPERLINK("https://t.co/mwKepQ1FuQ")</f>
        <v>https://t.co/mwKepQ1FuQ</v>
      </c>
      <c r="AO151" s="79"/>
      <c r="AP151" s="81">
        <v>40353.6606712963</v>
      </c>
      <c r="AQ151" s="84" t="str">
        <f>HYPERLINK("https://pbs.twimg.com/profile_banners/159146922/1631609541")</f>
        <v>https://pbs.twimg.com/profile_banners/159146922/1631609541</v>
      </c>
      <c r="AR151" s="79" t="b">
        <v>0</v>
      </c>
      <c r="AS151" s="79" t="b">
        <v>0</v>
      </c>
      <c r="AT151" s="79" t="b">
        <v>0</v>
      </c>
      <c r="AU151" s="79"/>
      <c r="AV151" s="79">
        <v>501</v>
      </c>
      <c r="AW151" s="84" t="str">
        <f>HYPERLINK("https://abs.twimg.com/images/themes/theme1/bg.png")</f>
        <v>https://abs.twimg.com/images/themes/theme1/bg.png</v>
      </c>
      <c r="AX151" s="79" t="b">
        <v>0</v>
      </c>
      <c r="AY151" s="79" t="s">
        <v>1601</v>
      </c>
      <c r="AZ151" s="84" t="str">
        <f>HYPERLINK("https://twitter.com/philip_ciwf")</f>
        <v>https://twitter.com/philip_ciwf</v>
      </c>
      <c r="BA151" s="79" t="s">
        <v>65</v>
      </c>
      <c r="BB151" s="79" t="str">
        <f>REPLACE(INDEX(GroupVertices[Group],MATCH(Vertices[[#This Row],[Vertex]],GroupVertices[Vertex],0)),1,1,"")</f>
        <v>11</v>
      </c>
      <c r="BC151" s="49"/>
      <c r="BD151" s="49"/>
      <c r="BE151" s="49"/>
      <c r="BF151" s="49"/>
      <c r="BG151" s="49"/>
      <c r="BH151" s="49"/>
      <c r="BI151" s="49"/>
      <c r="BJ151" s="49"/>
      <c r="BK151" s="49"/>
      <c r="BL151" s="49"/>
      <c r="BM151" s="49"/>
      <c r="BN151" s="50"/>
      <c r="BO151" s="49"/>
      <c r="BP151" s="50"/>
      <c r="BQ151" s="49"/>
      <c r="BR151" s="50"/>
      <c r="BS151" s="49"/>
      <c r="BT151" s="50"/>
      <c r="BU151" s="49"/>
      <c r="BV151" s="2"/>
      <c r="BW151" s="3"/>
      <c r="BX151" s="3"/>
      <c r="BY151" s="3"/>
      <c r="BZ151" s="3"/>
    </row>
    <row r="152" spans="1:78" ht="41.45" customHeight="1">
      <c r="A152" s="65" t="s">
        <v>398</v>
      </c>
      <c r="C152" s="66"/>
      <c r="D152" s="66" t="s">
        <v>64</v>
      </c>
      <c r="E152" s="67">
        <v>255.80242340902822</v>
      </c>
      <c r="F152" s="69"/>
      <c r="G152" s="103" t="str">
        <f>HYPERLINK("https://pbs.twimg.com/profile_images/1327037595507974146/18Bhimx3_normal.png")</f>
        <v>https://pbs.twimg.com/profile_images/1327037595507974146/18Bhimx3_normal.png</v>
      </c>
      <c r="H152" s="66"/>
      <c r="I152" s="70" t="s">
        <v>398</v>
      </c>
      <c r="J152" s="71"/>
      <c r="K152" s="71"/>
      <c r="L152" s="70" t="s">
        <v>1750</v>
      </c>
      <c r="M152" s="74">
        <v>72.76326103453164</v>
      </c>
      <c r="N152" s="75">
        <v>5596.71484375</v>
      </c>
      <c r="O152" s="75">
        <v>785.2617797851562</v>
      </c>
      <c r="P152" s="76"/>
      <c r="Q152" s="77"/>
      <c r="R152" s="77"/>
      <c r="S152" s="89"/>
      <c r="T152" s="49">
        <v>1</v>
      </c>
      <c r="U152" s="49">
        <v>0</v>
      </c>
      <c r="V152" s="50">
        <v>0</v>
      </c>
      <c r="W152" s="50">
        <v>0.142857</v>
      </c>
      <c r="X152" s="50">
        <v>0</v>
      </c>
      <c r="Y152" s="50">
        <v>0.655403</v>
      </c>
      <c r="Z152" s="50">
        <v>0</v>
      </c>
      <c r="AA152" s="50">
        <v>0</v>
      </c>
      <c r="AB152" s="72">
        <v>152</v>
      </c>
      <c r="AC152" s="72"/>
      <c r="AD152" s="73"/>
      <c r="AE152" s="79" t="s">
        <v>1157</v>
      </c>
      <c r="AF152" s="88" t="s">
        <v>1317</v>
      </c>
      <c r="AG152" s="79">
        <v>1267</v>
      </c>
      <c r="AH152" s="79">
        <v>185922</v>
      </c>
      <c r="AI152" s="79">
        <v>319192</v>
      </c>
      <c r="AJ152" s="79">
        <v>1813</v>
      </c>
      <c r="AK152" s="79"/>
      <c r="AL152" s="79" t="s">
        <v>1479</v>
      </c>
      <c r="AM152" s="79" t="s">
        <v>1588</v>
      </c>
      <c r="AN152" s="84" t="str">
        <f>HYPERLINK("https://t.co/gcv9ZmfbvL")</f>
        <v>https://t.co/gcv9ZmfbvL</v>
      </c>
      <c r="AO152" s="79"/>
      <c r="AP152" s="81">
        <v>39779.63523148148</v>
      </c>
      <c r="AQ152" s="84" t="str">
        <f>HYPERLINK("https://pbs.twimg.com/profile_banners/17680050/1632389701")</f>
        <v>https://pbs.twimg.com/profile_banners/17680050/1632389701</v>
      </c>
      <c r="AR152" s="79" t="b">
        <v>0</v>
      </c>
      <c r="AS152" s="79" t="b">
        <v>0</v>
      </c>
      <c r="AT152" s="79" t="b">
        <v>1</v>
      </c>
      <c r="AU152" s="79"/>
      <c r="AV152" s="79">
        <v>2089</v>
      </c>
      <c r="AW152" s="84" t="str">
        <f>HYPERLINK("https://abs.twimg.com/images/themes/theme15/bg.png")</f>
        <v>https://abs.twimg.com/images/themes/theme15/bg.png</v>
      </c>
      <c r="AX152" s="79" t="b">
        <v>1</v>
      </c>
      <c r="AY152" s="79" t="s">
        <v>1601</v>
      </c>
      <c r="AZ152" s="84" t="str">
        <f>HYPERLINK("https://twitter.com/thescotsman")</f>
        <v>https://twitter.com/thescotsman</v>
      </c>
      <c r="BA152" s="79" t="s">
        <v>65</v>
      </c>
      <c r="BB152" s="79" t="str">
        <f>REPLACE(INDEX(GroupVertices[Group],MATCH(Vertices[[#This Row],[Vertex]],GroupVertices[Vertex],0)),1,1,"")</f>
        <v>11</v>
      </c>
      <c r="BC152" s="49"/>
      <c r="BD152" s="49"/>
      <c r="BE152" s="49"/>
      <c r="BF152" s="49"/>
      <c r="BG152" s="49"/>
      <c r="BH152" s="49"/>
      <c r="BI152" s="49"/>
      <c r="BJ152" s="49"/>
      <c r="BK152" s="49"/>
      <c r="BL152" s="49"/>
      <c r="BM152" s="49"/>
      <c r="BN152" s="50"/>
      <c r="BO152" s="49"/>
      <c r="BP152" s="50"/>
      <c r="BQ152" s="49"/>
      <c r="BR152" s="50"/>
      <c r="BS152" s="49"/>
      <c r="BT152" s="50"/>
      <c r="BU152" s="49"/>
      <c r="BV152" s="2"/>
      <c r="BW152" s="3"/>
      <c r="BX152" s="3"/>
      <c r="BY152" s="3"/>
      <c r="BZ152" s="3"/>
    </row>
    <row r="153" spans="1:78" ht="41.45" customHeight="1">
      <c r="A153" s="65" t="s">
        <v>399</v>
      </c>
      <c r="C153" s="66"/>
      <c r="D153" s="66" t="s">
        <v>64</v>
      </c>
      <c r="E153" s="67">
        <v>164.7875043799813</v>
      </c>
      <c r="F153" s="69"/>
      <c r="G153" s="103" t="str">
        <f>HYPERLINK("https://pbs.twimg.com/profile_images/2507770447/z6o1mh2iwupjy0tobsxy_normal.gif")</f>
        <v>https://pbs.twimg.com/profile_images/2507770447/z6o1mh2iwupjy0tobsxy_normal.gif</v>
      </c>
      <c r="H153" s="66"/>
      <c r="I153" s="70" t="s">
        <v>399</v>
      </c>
      <c r="J153" s="71"/>
      <c r="K153" s="71"/>
      <c r="L153" s="70" t="s">
        <v>1751</v>
      </c>
      <c r="M153" s="74">
        <v>3.132571816222864</v>
      </c>
      <c r="N153" s="75">
        <v>6231.2607421875</v>
      </c>
      <c r="O153" s="75">
        <v>1080.2989501953125</v>
      </c>
      <c r="P153" s="76"/>
      <c r="Q153" s="77"/>
      <c r="R153" s="77"/>
      <c r="S153" s="89"/>
      <c r="T153" s="49">
        <v>1</v>
      </c>
      <c r="U153" s="49">
        <v>0</v>
      </c>
      <c r="V153" s="50">
        <v>0</v>
      </c>
      <c r="W153" s="50">
        <v>0.142857</v>
      </c>
      <c r="X153" s="50">
        <v>0</v>
      </c>
      <c r="Y153" s="50">
        <v>0.655403</v>
      </c>
      <c r="Z153" s="50">
        <v>0</v>
      </c>
      <c r="AA153" s="50">
        <v>0</v>
      </c>
      <c r="AB153" s="72">
        <v>153</v>
      </c>
      <c r="AC153" s="72"/>
      <c r="AD153" s="73"/>
      <c r="AE153" s="79" t="s">
        <v>1158</v>
      </c>
      <c r="AF153" s="88" t="s">
        <v>1318</v>
      </c>
      <c r="AG153" s="79">
        <v>6062</v>
      </c>
      <c r="AH153" s="79">
        <v>5525</v>
      </c>
      <c r="AI153" s="79">
        <v>92145</v>
      </c>
      <c r="AJ153" s="79">
        <v>39942</v>
      </c>
      <c r="AK153" s="79"/>
      <c r="AL153" s="79" t="s">
        <v>1480</v>
      </c>
      <c r="AM153" s="79" t="s">
        <v>1589</v>
      </c>
      <c r="AN153" s="79"/>
      <c r="AO153" s="79"/>
      <c r="AP153" s="81">
        <v>41136.611238425925</v>
      </c>
      <c r="AQ153" s="84" t="str">
        <f>HYPERLINK("https://pbs.twimg.com/profile_banners/759496926/1508757198")</f>
        <v>https://pbs.twimg.com/profile_banners/759496926/1508757198</v>
      </c>
      <c r="AR153" s="79" t="b">
        <v>0</v>
      </c>
      <c r="AS153" s="79" t="b">
        <v>0</v>
      </c>
      <c r="AT153" s="79" t="b">
        <v>0</v>
      </c>
      <c r="AU153" s="79"/>
      <c r="AV153" s="79">
        <v>103</v>
      </c>
      <c r="AW153" s="84" t="str">
        <f>HYPERLINK("https://abs.twimg.com/images/themes/theme5/bg.gif")</f>
        <v>https://abs.twimg.com/images/themes/theme5/bg.gif</v>
      </c>
      <c r="AX153" s="79" t="b">
        <v>0</v>
      </c>
      <c r="AY153" s="79" t="s">
        <v>1601</v>
      </c>
      <c r="AZ153" s="84" t="str">
        <f>HYPERLINK("https://twitter.com/themorganics")</f>
        <v>https://twitter.com/themorganics</v>
      </c>
      <c r="BA153" s="79" t="s">
        <v>65</v>
      </c>
      <c r="BB153" s="79" t="str">
        <f>REPLACE(INDEX(GroupVertices[Group],MATCH(Vertices[[#This Row],[Vertex]],GroupVertices[Vertex],0)),1,1,"")</f>
        <v>11</v>
      </c>
      <c r="BC153" s="49"/>
      <c r="BD153" s="49"/>
      <c r="BE153" s="49"/>
      <c r="BF153" s="49"/>
      <c r="BG153" s="49"/>
      <c r="BH153" s="49"/>
      <c r="BI153" s="49"/>
      <c r="BJ153" s="49"/>
      <c r="BK153" s="49"/>
      <c r="BL153" s="49"/>
      <c r="BM153" s="49"/>
      <c r="BN153" s="50"/>
      <c r="BO153" s="49"/>
      <c r="BP153" s="50"/>
      <c r="BQ153" s="49"/>
      <c r="BR153" s="50"/>
      <c r="BS153" s="49"/>
      <c r="BT153" s="50"/>
      <c r="BU153" s="49"/>
      <c r="BV153" s="2"/>
      <c r="BW153" s="3"/>
      <c r="BX153" s="3"/>
      <c r="BY153" s="3"/>
      <c r="BZ153" s="3"/>
    </row>
    <row r="154" spans="1:78" ht="41.45" customHeight="1">
      <c r="A154" s="65" t="s">
        <v>400</v>
      </c>
      <c r="C154" s="66"/>
      <c r="D154" s="66" t="s">
        <v>64</v>
      </c>
      <c r="E154" s="67">
        <v>162.00958598791306</v>
      </c>
      <c r="F154" s="69"/>
      <c r="G154" s="103" t="str">
        <f>HYPERLINK("https://pbs.twimg.com/profile_images/1447717165851885571/YRZyBDiT_normal.jpg")</f>
        <v>https://pbs.twimg.com/profile_images/1447717165851885571/YRZyBDiT_normal.jpg</v>
      </c>
      <c r="H154" s="66"/>
      <c r="I154" s="70" t="s">
        <v>400</v>
      </c>
      <c r="J154" s="71"/>
      <c r="K154" s="71"/>
      <c r="L154" s="70" t="s">
        <v>1752</v>
      </c>
      <c r="M154" s="74">
        <v>1.0073337311327122</v>
      </c>
      <c r="N154" s="75">
        <v>5390.76513671875</v>
      </c>
      <c r="O154" s="75">
        <v>1694.292724609375</v>
      </c>
      <c r="P154" s="76"/>
      <c r="Q154" s="77"/>
      <c r="R154" s="77"/>
      <c r="S154" s="89"/>
      <c r="T154" s="49">
        <v>1</v>
      </c>
      <c r="U154" s="49">
        <v>0</v>
      </c>
      <c r="V154" s="50">
        <v>0</v>
      </c>
      <c r="W154" s="50">
        <v>0.142857</v>
      </c>
      <c r="X154" s="50">
        <v>0</v>
      </c>
      <c r="Y154" s="50">
        <v>0.655403</v>
      </c>
      <c r="Z154" s="50">
        <v>0</v>
      </c>
      <c r="AA154" s="50">
        <v>0</v>
      </c>
      <c r="AB154" s="72">
        <v>154</v>
      </c>
      <c r="AC154" s="72"/>
      <c r="AD154" s="73"/>
      <c r="AE154" s="79" t="s">
        <v>1159</v>
      </c>
      <c r="AF154" s="88" t="s">
        <v>1319</v>
      </c>
      <c r="AG154" s="79">
        <v>55</v>
      </c>
      <c r="AH154" s="79">
        <v>19</v>
      </c>
      <c r="AI154" s="79">
        <v>3553</v>
      </c>
      <c r="AJ154" s="79">
        <v>12912</v>
      </c>
      <c r="AK154" s="79"/>
      <c r="AL154" s="79" t="s">
        <v>1481</v>
      </c>
      <c r="AM154" s="79" t="s">
        <v>1590</v>
      </c>
      <c r="AN154" s="79"/>
      <c r="AO154" s="79"/>
      <c r="AP154" s="81">
        <v>43563.13549768519</v>
      </c>
      <c r="AQ154" s="79"/>
      <c r="AR154" s="79" t="b">
        <v>1</v>
      </c>
      <c r="AS154" s="79" t="b">
        <v>0</v>
      </c>
      <c r="AT154" s="79" t="b">
        <v>0</v>
      </c>
      <c r="AU154" s="79"/>
      <c r="AV154" s="79">
        <v>0</v>
      </c>
      <c r="AW154" s="79"/>
      <c r="AX154" s="79" t="b">
        <v>0</v>
      </c>
      <c r="AY154" s="79" t="s">
        <v>1601</v>
      </c>
      <c r="AZ154" s="84" t="str">
        <f>HYPERLINK("https://twitter.com/xxzxxzxxzzx")</f>
        <v>https://twitter.com/xxzxxzxxzzx</v>
      </c>
      <c r="BA154" s="79" t="s">
        <v>65</v>
      </c>
      <c r="BB154" s="79" t="str">
        <f>REPLACE(INDEX(GroupVertices[Group],MATCH(Vertices[[#This Row],[Vertex]],GroupVertices[Vertex],0)),1,1,"")</f>
        <v>11</v>
      </c>
      <c r="BC154" s="49"/>
      <c r="BD154" s="49"/>
      <c r="BE154" s="49"/>
      <c r="BF154" s="49"/>
      <c r="BG154" s="49"/>
      <c r="BH154" s="49"/>
      <c r="BI154" s="49"/>
      <c r="BJ154" s="49"/>
      <c r="BK154" s="49"/>
      <c r="BL154" s="49"/>
      <c r="BM154" s="49"/>
      <c r="BN154" s="50"/>
      <c r="BO154" s="49"/>
      <c r="BP154" s="50"/>
      <c r="BQ154" s="49"/>
      <c r="BR154" s="50"/>
      <c r="BS154" s="49"/>
      <c r="BT154" s="50"/>
      <c r="BU154" s="49"/>
      <c r="BV154" s="2"/>
      <c r="BW154" s="3"/>
      <c r="BX154" s="3"/>
      <c r="BY154" s="3"/>
      <c r="BZ154" s="3"/>
    </row>
    <row r="155" spans="1:78" ht="41.45" customHeight="1">
      <c r="A155" s="65" t="s">
        <v>347</v>
      </c>
      <c r="C155" s="66"/>
      <c r="D155" s="66" t="s">
        <v>64</v>
      </c>
      <c r="E155" s="67">
        <v>162.16447537156088</v>
      </c>
      <c r="F155" s="69"/>
      <c r="G155" s="103" t="str">
        <f>HYPERLINK("https://pbs.twimg.com/profile_images/1207023594204741634/oNEPNuoG_normal.jpg")</f>
        <v>https://pbs.twimg.com/profile_images/1207023594204741634/oNEPNuoG_normal.jpg</v>
      </c>
      <c r="H155" s="66"/>
      <c r="I155" s="70" t="s">
        <v>347</v>
      </c>
      <c r="J155" s="71"/>
      <c r="K155" s="71"/>
      <c r="L155" s="70" t="s">
        <v>1753</v>
      </c>
      <c r="M155" s="74">
        <v>1.1258313868033762</v>
      </c>
      <c r="N155" s="75">
        <v>4278.775390625</v>
      </c>
      <c r="O155" s="75">
        <v>6813.41015625</v>
      </c>
      <c r="P155" s="76"/>
      <c r="Q155" s="77"/>
      <c r="R155" s="77"/>
      <c r="S155" s="89"/>
      <c r="T155" s="49">
        <v>0</v>
      </c>
      <c r="U155" s="49">
        <v>14</v>
      </c>
      <c r="V155" s="50">
        <v>1840.5</v>
      </c>
      <c r="W155" s="50">
        <v>0.009346</v>
      </c>
      <c r="X155" s="50">
        <v>0.006807</v>
      </c>
      <c r="Y155" s="50">
        <v>3.364858</v>
      </c>
      <c r="Z155" s="50">
        <v>0.038461538461538464</v>
      </c>
      <c r="AA155" s="50">
        <v>0</v>
      </c>
      <c r="AB155" s="72">
        <v>155</v>
      </c>
      <c r="AC155" s="72"/>
      <c r="AD155" s="73"/>
      <c r="AE155" s="79" t="s">
        <v>1160</v>
      </c>
      <c r="AF155" s="88" t="s">
        <v>1320</v>
      </c>
      <c r="AG155" s="79">
        <v>330</v>
      </c>
      <c r="AH155" s="79">
        <v>326</v>
      </c>
      <c r="AI155" s="79">
        <v>26193</v>
      </c>
      <c r="AJ155" s="79">
        <v>41351</v>
      </c>
      <c r="AK155" s="79"/>
      <c r="AL155" s="79"/>
      <c r="AM155" s="79"/>
      <c r="AN155" s="79"/>
      <c r="AO155" s="79"/>
      <c r="AP155" s="81">
        <v>43347.818553240744</v>
      </c>
      <c r="AQ155" s="79"/>
      <c r="AR155" s="79" t="b">
        <v>1</v>
      </c>
      <c r="AS155" s="79" t="b">
        <v>0</v>
      </c>
      <c r="AT155" s="79" t="b">
        <v>0</v>
      </c>
      <c r="AU155" s="79"/>
      <c r="AV155" s="79">
        <v>2</v>
      </c>
      <c r="AW155" s="79"/>
      <c r="AX155" s="79" t="b">
        <v>0</v>
      </c>
      <c r="AY155" s="79" t="s">
        <v>1601</v>
      </c>
      <c r="AZ155" s="84" t="str">
        <f>HYPERLINK("https://twitter.com/craftmeati")</f>
        <v>https://twitter.com/craftmeati</v>
      </c>
      <c r="BA155" s="79" t="s">
        <v>66</v>
      </c>
      <c r="BB155" s="79" t="str">
        <f>REPLACE(INDEX(GroupVertices[Group],MATCH(Vertices[[#This Row],[Vertex]],GroupVertices[Vertex],0)),1,1,"")</f>
        <v>3</v>
      </c>
      <c r="BC155" s="49" t="s">
        <v>2258</v>
      </c>
      <c r="BD155" s="49" t="s">
        <v>2258</v>
      </c>
      <c r="BE155" s="49" t="s">
        <v>2265</v>
      </c>
      <c r="BF155" s="49" t="s">
        <v>2265</v>
      </c>
      <c r="BG155" s="49" t="s">
        <v>2271</v>
      </c>
      <c r="BH155" s="49" t="s">
        <v>2271</v>
      </c>
      <c r="BI155" s="108" t="s">
        <v>2329</v>
      </c>
      <c r="BJ155" s="108" t="s">
        <v>2350</v>
      </c>
      <c r="BK155" s="108" t="s">
        <v>2397</v>
      </c>
      <c r="BL155" s="108" t="s">
        <v>2397</v>
      </c>
      <c r="BM155" s="108">
        <v>7</v>
      </c>
      <c r="BN155" s="111">
        <v>3.482587064676617</v>
      </c>
      <c r="BO155" s="108">
        <v>0</v>
      </c>
      <c r="BP155" s="111">
        <v>0</v>
      </c>
      <c r="BQ155" s="108">
        <v>0</v>
      </c>
      <c r="BR155" s="111">
        <v>0</v>
      </c>
      <c r="BS155" s="108">
        <v>194</v>
      </c>
      <c r="BT155" s="111">
        <v>96.51741293532338</v>
      </c>
      <c r="BU155" s="108">
        <v>201</v>
      </c>
      <c r="BV155" s="2"/>
      <c r="BW155" s="3"/>
      <c r="BX155" s="3"/>
      <c r="BY155" s="3"/>
      <c r="BZ155" s="3"/>
    </row>
    <row r="156" spans="1:78" ht="41.45" customHeight="1">
      <c r="A156" s="65" t="s">
        <v>348</v>
      </c>
      <c r="C156" s="66"/>
      <c r="D156" s="66" t="s">
        <v>64</v>
      </c>
      <c r="E156" s="67">
        <v>162.08778746825644</v>
      </c>
      <c r="F156" s="69"/>
      <c r="G156" s="103" t="str">
        <f>HYPERLINK("https://pbs.twimg.com/profile_images/1327714956779925505/ZvDQjsvd_normal.jpg")</f>
        <v>https://pbs.twimg.com/profile_images/1327714956779925505/ZvDQjsvd_normal.jpg</v>
      </c>
      <c r="H156" s="66"/>
      <c r="I156" s="70" t="s">
        <v>348</v>
      </c>
      <c r="J156" s="71"/>
      <c r="K156" s="71"/>
      <c r="L156" s="70" t="s">
        <v>1754</v>
      </c>
      <c r="M156" s="74">
        <v>1.0671615377416794</v>
      </c>
      <c r="N156" s="75">
        <v>4460.40380859375</v>
      </c>
      <c r="O156" s="75">
        <v>6257.95703125</v>
      </c>
      <c r="P156" s="76"/>
      <c r="Q156" s="77"/>
      <c r="R156" s="77"/>
      <c r="S156" s="89"/>
      <c r="T156" s="49">
        <v>1</v>
      </c>
      <c r="U156" s="49">
        <v>2</v>
      </c>
      <c r="V156" s="50">
        <v>35</v>
      </c>
      <c r="W156" s="50">
        <v>0.007874</v>
      </c>
      <c r="X156" s="50">
        <v>0.006256</v>
      </c>
      <c r="Y156" s="50">
        <v>0.704724</v>
      </c>
      <c r="Z156" s="50">
        <v>0.3333333333333333</v>
      </c>
      <c r="AA156" s="50">
        <v>0</v>
      </c>
      <c r="AB156" s="72">
        <v>156</v>
      </c>
      <c r="AC156" s="72"/>
      <c r="AD156" s="73"/>
      <c r="AE156" s="79" t="s">
        <v>1161</v>
      </c>
      <c r="AF156" s="88" t="s">
        <v>1321</v>
      </c>
      <c r="AG156" s="79">
        <v>97</v>
      </c>
      <c r="AH156" s="79">
        <v>174</v>
      </c>
      <c r="AI156" s="79">
        <v>516</v>
      </c>
      <c r="AJ156" s="79">
        <v>608</v>
      </c>
      <c r="AK156" s="79"/>
      <c r="AL156" s="79" t="s">
        <v>1482</v>
      </c>
      <c r="AM156" s="79" t="s">
        <v>1591</v>
      </c>
      <c r="AN156" s="84" t="str">
        <f>HYPERLINK("https://t.co/Q5l6vyOo6z")</f>
        <v>https://t.co/Q5l6vyOo6z</v>
      </c>
      <c r="AO156" s="79"/>
      <c r="AP156" s="81">
        <v>44149.751238425924</v>
      </c>
      <c r="AQ156" s="84" t="str">
        <f>HYPERLINK("https://pbs.twimg.com/profile_banners/1327673050200989698/1605388195")</f>
        <v>https://pbs.twimg.com/profile_banners/1327673050200989698/1605388195</v>
      </c>
      <c r="AR156" s="79" t="b">
        <v>1</v>
      </c>
      <c r="AS156" s="79" t="b">
        <v>0</v>
      </c>
      <c r="AT156" s="79" t="b">
        <v>0</v>
      </c>
      <c r="AU156" s="79"/>
      <c r="AV156" s="79">
        <v>2</v>
      </c>
      <c r="AW156" s="79"/>
      <c r="AX156" s="79" t="b">
        <v>0</v>
      </c>
      <c r="AY156" s="79" t="s">
        <v>1601</v>
      </c>
      <c r="AZ156" s="84" t="str">
        <f>HYPERLINK("https://twitter.com/helikonc")</f>
        <v>https://twitter.com/helikonc</v>
      </c>
      <c r="BA156" s="79" t="s">
        <v>66</v>
      </c>
      <c r="BB156" s="79" t="str">
        <f>REPLACE(INDEX(GroupVertices[Group],MATCH(Vertices[[#This Row],[Vertex]],GroupVertices[Vertex],0)),1,1,"")</f>
        <v>3</v>
      </c>
      <c r="BC156" s="49" t="s">
        <v>1853</v>
      </c>
      <c r="BD156" s="49" t="s">
        <v>1853</v>
      </c>
      <c r="BE156" s="49" t="s">
        <v>535</v>
      </c>
      <c r="BF156" s="49" t="s">
        <v>535</v>
      </c>
      <c r="BG156" s="49"/>
      <c r="BH156" s="49"/>
      <c r="BI156" s="108" t="s">
        <v>2330</v>
      </c>
      <c r="BJ156" s="108" t="s">
        <v>2330</v>
      </c>
      <c r="BK156" s="108" t="s">
        <v>2398</v>
      </c>
      <c r="BL156" s="108" t="s">
        <v>2398</v>
      </c>
      <c r="BM156" s="108">
        <v>0</v>
      </c>
      <c r="BN156" s="111">
        <v>0</v>
      </c>
      <c r="BO156" s="108">
        <v>0</v>
      </c>
      <c r="BP156" s="111">
        <v>0</v>
      </c>
      <c r="BQ156" s="108">
        <v>0</v>
      </c>
      <c r="BR156" s="111">
        <v>0</v>
      </c>
      <c r="BS156" s="108">
        <v>26</v>
      </c>
      <c r="BT156" s="111">
        <v>100</v>
      </c>
      <c r="BU156" s="108">
        <v>26</v>
      </c>
      <c r="BV156" s="2"/>
      <c r="BW156" s="3"/>
      <c r="BX156" s="3"/>
      <c r="BY156" s="3"/>
      <c r="BZ156" s="3"/>
    </row>
    <row r="157" spans="1:78" ht="41.45" customHeight="1">
      <c r="A157" s="65" t="s">
        <v>401</v>
      </c>
      <c r="C157" s="66"/>
      <c r="D157" s="66" t="s">
        <v>64</v>
      </c>
      <c r="E157" s="67">
        <v>162.2477221087006</v>
      </c>
      <c r="F157" s="69"/>
      <c r="G157" s="103" t="str">
        <f>HYPERLINK("https://pbs.twimg.com/profile_images/1415128709703602180/O09_E0DB_normal.png")</f>
        <v>https://pbs.twimg.com/profile_images/1415128709703602180/O09_E0DB_normal.png</v>
      </c>
      <c r="H157" s="66"/>
      <c r="I157" s="70" t="s">
        <v>401</v>
      </c>
      <c r="J157" s="71"/>
      <c r="K157" s="71"/>
      <c r="L157" s="70" t="s">
        <v>1755</v>
      </c>
      <c r="M157" s="74">
        <v>1.1895190519032446</v>
      </c>
      <c r="N157" s="75">
        <v>4598.515625</v>
      </c>
      <c r="O157" s="75">
        <v>6426.09228515625</v>
      </c>
      <c r="P157" s="76"/>
      <c r="Q157" s="77"/>
      <c r="R157" s="77"/>
      <c r="S157" s="89"/>
      <c r="T157" s="49">
        <v>2</v>
      </c>
      <c r="U157" s="49">
        <v>0</v>
      </c>
      <c r="V157" s="50">
        <v>0</v>
      </c>
      <c r="W157" s="50">
        <v>0.006173</v>
      </c>
      <c r="X157" s="50">
        <v>0.001083</v>
      </c>
      <c r="Y157" s="50">
        <v>0.553967</v>
      </c>
      <c r="Z157" s="50">
        <v>0.5</v>
      </c>
      <c r="AA157" s="50">
        <v>0</v>
      </c>
      <c r="AB157" s="72">
        <v>157</v>
      </c>
      <c r="AC157" s="72"/>
      <c r="AD157" s="73"/>
      <c r="AE157" s="79" t="s">
        <v>1162</v>
      </c>
      <c r="AF157" s="88" t="s">
        <v>1322</v>
      </c>
      <c r="AG157" s="79">
        <v>1</v>
      </c>
      <c r="AH157" s="79">
        <v>491</v>
      </c>
      <c r="AI157" s="79">
        <v>12</v>
      </c>
      <c r="AJ157" s="79">
        <v>76</v>
      </c>
      <c r="AK157" s="79"/>
      <c r="AL157" s="79" t="s">
        <v>1483</v>
      </c>
      <c r="AM157" s="79" t="s">
        <v>1592</v>
      </c>
      <c r="AN157" s="84" t="str">
        <f>HYPERLINK("https://t.co/GZGjO3xemZ")</f>
        <v>https://t.co/GZGjO3xemZ</v>
      </c>
      <c r="AO157" s="79"/>
      <c r="AP157" s="81">
        <v>43542.581030092595</v>
      </c>
      <c r="AQ157" s="84" t="str">
        <f>HYPERLINK("https://pbs.twimg.com/profile_banners/1107641977821167618/1626227876")</f>
        <v>https://pbs.twimg.com/profile_banners/1107641977821167618/1626227876</v>
      </c>
      <c r="AR157" s="79" t="b">
        <v>1</v>
      </c>
      <c r="AS157" s="79" t="b">
        <v>0</v>
      </c>
      <c r="AT157" s="79" t="b">
        <v>0</v>
      </c>
      <c r="AU157" s="79"/>
      <c r="AV157" s="79">
        <v>10</v>
      </c>
      <c r="AW157" s="79"/>
      <c r="AX157" s="79" t="b">
        <v>0</v>
      </c>
      <c r="AY157" s="79" t="s">
        <v>1601</v>
      </c>
      <c r="AZ157" s="84" t="str">
        <f>HYPERLINK("https://twitter.com/eatgourmey")</f>
        <v>https://twitter.com/eatgourmey</v>
      </c>
      <c r="BA157" s="79" t="s">
        <v>65</v>
      </c>
      <c r="BB157" s="79" t="str">
        <f>REPLACE(INDEX(GroupVertices[Group],MATCH(Vertices[[#This Row],[Vertex]],GroupVertices[Vertex],0)),1,1,"")</f>
        <v>3</v>
      </c>
      <c r="BC157" s="49"/>
      <c r="BD157" s="49"/>
      <c r="BE157" s="49"/>
      <c r="BF157" s="49"/>
      <c r="BG157" s="49"/>
      <c r="BH157" s="49"/>
      <c r="BI157" s="49"/>
      <c r="BJ157" s="49"/>
      <c r="BK157" s="49"/>
      <c r="BL157" s="49"/>
      <c r="BM157" s="49"/>
      <c r="BN157" s="50"/>
      <c r="BO157" s="49"/>
      <c r="BP157" s="50"/>
      <c r="BQ157" s="49"/>
      <c r="BR157" s="50"/>
      <c r="BS157" s="49"/>
      <c r="BT157" s="50"/>
      <c r="BU157" s="49"/>
      <c r="BV157" s="2"/>
      <c r="BW157" s="3"/>
      <c r="BX157" s="3"/>
      <c r="BY157" s="3"/>
      <c r="BZ157" s="3"/>
    </row>
    <row r="158" spans="1:78" ht="41.45" customHeight="1">
      <c r="A158" s="65" t="s">
        <v>349</v>
      </c>
      <c r="C158" s="66"/>
      <c r="D158" s="66" t="s">
        <v>64</v>
      </c>
      <c r="E158" s="67">
        <v>163.34758809030407</v>
      </c>
      <c r="F158" s="69"/>
      <c r="G158" s="103" t="str">
        <f>HYPERLINK("https://pbs.twimg.com/profile_images/1219578724317724672/Pz__yQZx_normal.jpg")</f>
        <v>https://pbs.twimg.com/profile_images/1219578724317724672/Pz__yQZx_normal.jpg</v>
      </c>
      <c r="H158" s="66"/>
      <c r="I158" s="70" t="s">
        <v>349</v>
      </c>
      <c r="J158" s="71"/>
      <c r="K158" s="71"/>
      <c r="L158" s="70" t="s">
        <v>1756</v>
      </c>
      <c r="M158" s="74">
        <v>2.030968202919687</v>
      </c>
      <c r="N158" s="75">
        <v>4535.95849609375</v>
      </c>
      <c r="O158" s="75">
        <v>7561.34619140625</v>
      </c>
      <c r="P158" s="76"/>
      <c r="Q158" s="77"/>
      <c r="R158" s="77"/>
      <c r="S158" s="89"/>
      <c r="T158" s="49">
        <v>3</v>
      </c>
      <c r="U158" s="49">
        <v>1</v>
      </c>
      <c r="V158" s="50">
        <v>0</v>
      </c>
      <c r="W158" s="50">
        <v>0.006211</v>
      </c>
      <c r="X158" s="50">
        <v>0.000677</v>
      </c>
      <c r="Y158" s="50">
        <v>0.847019</v>
      </c>
      <c r="Z158" s="50">
        <v>0.5</v>
      </c>
      <c r="AA158" s="50">
        <v>0</v>
      </c>
      <c r="AB158" s="72">
        <v>158</v>
      </c>
      <c r="AC158" s="72"/>
      <c r="AD158" s="73"/>
      <c r="AE158" s="79" t="s">
        <v>1163</v>
      </c>
      <c r="AF158" s="88" t="s">
        <v>1323</v>
      </c>
      <c r="AG158" s="79">
        <v>1462</v>
      </c>
      <c r="AH158" s="79">
        <v>2671</v>
      </c>
      <c r="AI158" s="79">
        <v>9409</v>
      </c>
      <c r="AJ158" s="79">
        <v>1918</v>
      </c>
      <c r="AK158" s="79"/>
      <c r="AL158" s="79" t="s">
        <v>1484</v>
      </c>
      <c r="AM158" s="79" t="s">
        <v>1593</v>
      </c>
      <c r="AN158" s="84" t="str">
        <f>HYPERLINK("https://t.co/3PaVTQWNCa")</f>
        <v>https://t.co/3PaVTQWNCa</v>
      </c>
      <c r="AO158" s="79"/>
      <c r="AP158" s="81">
        <v>40819.0984375</v>
      </c>
      <c r="AQ158" s="84" t="str">
        <f>HYPERLINK("https://pbs.twimg.com/profile_banners/384098875/1612766302")</f>
        <v>https://pbs.twimg.com/profile_banners/384098875/1612766302</v>
      </c>
      <c r="AR158" s="79" t="b">
        <v>0</v>
      </c>
      <c r="AS158" s="79" t="b">
        <v>0</v>
      </c>
      <c r="AT158" s="79" t="b">
        <v>1</v>
      </c>
      <c r="AU158" s="79"/>
      <c r="AV158" s="79">
        <v>94</v>
      </c>
      <c r="AW158" s="84" t="str">
        <f>HYPERLINK("https://abs.twimg.com/images/themes/theme1/bg.png")</f>
        <v>https://abs.twimg.com/images/themes/theme1/bg.png</v>
      </c>
      <c r="AX158" s="79" t="b">
        <v>0</v>
      </c>
      <c r="AY158" s="79" t="s">
        <v>1601</v>
      </c>
      <c r="AZ158" s="84" t="str">
        <f>HYPERLINK("https://twitter.com/greenqueenhk")</f>
        <v>https://twitter.com/greenqueenhk</v>
      </c>
      <c r="BA158" s="79" t="s">
        <v>66</v>
      </c>
      <c r="BB158" s="79" t="str">
        <f>REPLACE(INDEX(GroupVertices[Group],MATCH(Vertices[[#This Row],[Vertex]],GroupVertices[Vertex],0)),1,1,"")</f>
        <v>3</v>
      </c>
      <c r="BC158" s="49" t="s">
        <v>1852</v>
      </c>
      <c r="BD158" s="49" t="s">
        <v>1852</v>
      </c>
      <c r="BE158" s="49" t="s">
        <v>525</v>
      </c>
      <c r="BF158" s="49" t="s">
        <v>525</v>
      </c>
      <c r="BG158" s="49"/>
      <c r="BH158" s="49"/>
      <c r="BI158" s="108" t="s">
        <v>2331</v>
      </c>
      <c r="BJ158" s="108" t="s">
        <v>2331</v>
      </c>
      <c r="BK158" s="108" t="s">
        <v>2399</v>
      </c>
      <c r="BL158" s="108" t="s">
        <v>2399</v>
      </c>
      <c r="BM158" s="108">
        <v>0</v>
      </c>
      <c r="BN158" s="111">
        <v>0</v>
      </c>
      <c r="BO158" s="108">
        <v>0</v>
      </c>
      <c r="BP158" s="111">
        <v>0</v>
      </c>
      <c r="BQ158" s="108">
        <v>0</v>
      </c>
      <c r="BR158" s="111">
        <v>0</v>
      </c>
      <c r="BS158" s="108">
        <v>14</v>
      </c>
      <c r="BT158" s="111">
        <v>100</v>
      </c>
      <c r="BU158" s="108">
        <v>14</v>
      </c>
      <c r="BV158" s="2"/>
      <c r="BW158" s="3"/>
      <c r="BX158" s="3"/>
      <c r="BY158" s="3"/>
      <c r="BZ158" s="3"/>
    </row>
    <row r="159" spans="1:78" ht="41.45" customHeight="1">
      <c r="A159" s="65" t="s">
        <v>351</v>
      </c>
      <c r="C159" s="66"/>
      <c r="D159" s="66" t="s">
        <v>64</v>
      </c>
      <c r="E159" s="67">
        <v>163.7602900962452</v>
      </c>
      <c r="F159" s="69"/>
      <c r="G159" s="103" t="str">
        <f>HYPERLINK("https://pbs.twimg.com/profile_images/710049013966487552/xyQ5j5sJ_normal.jpg")</f>
        <v>https://pbs.twimg.com/profile_images/710049013966487552/xyQ5j5sJ_normal.jpg</v>
      </c>
      <c r="H159" s="66"/>
      <c r="I159" s="70" t="s">
        <v>351</v>
      </c>
      <c r="J159" s="71"/>
      <c r="K159" s="71"/>
      <c r="L159" s="70" t="s">
        <v>1757</v>
      </c>
      <c r="M159" s="74">
        <v>2.3467046274753978</v>
      </c>
      <c r="N159" s="75">
        <v>4346.84619140625</v>
      </c>
      <c r="O159" s="75">
        <v>7933.69970703125</v>
      </c>
      <c r="P159" s="76"/>
      <c r="Q159" s="77"/>
      <c r="R159" s="77"/>
      <c r="S159" s="89"/>
      <c r="T159" s="49">
        <v>3</v>
      </c>
      <c r="U159" s="49">
        <v>1</v>
      </c>
      <c r="V159" s="50">
        <v>0</v>
      </c>
      <c r="W159" s="50">
        <v>0.006173</v>
      </c>
      <c r="X159" s="50">
        <v>0.000676</v>
      </c>
      <c r="Y159" s="50">
        <v>0.826552</v>
      </c>
      <c r="Z159" s="50">
        <v>0.5</v>
      </c>
      <c r="AA159" s="50">
        <v>0</v>
      </c>
      <c r="AB159" s="72">
        <v>159</v>
      </c>
      <c r="AC159" s="72"/>
      <c r="AD159" s="73"/>
      <c r="AE159" s="79" t="s">
        <v>1164</v>
      </c>
      <c r="AF159" s="88" t="s">
        <v>1324</v>
      </c>
      <c r="AG159" s="79">
        <v>891</v>
      </c>
      <c r="AH159" s="79">
        <v>3489</v>
      </c>
      <c r="AI159" s="79">
        <v>10254</v>
      </c>
      <c r="AJ159" s="79">
        <v>270</v>
      </c>
      <c r="AK159" s="79"/>
      <c r="AL159" s="79" t="s">
        <v>1485</v>
      </c>
      <c r="AM159" s="79" t="s">
        <v>1594</v>
      </c>
      <c r="AN159" s="84" t="str">
        <f>HYPERLINK("https://t.co/2Ndy1lkIE7")</f>
        <v>https://t.co/2Ndy1lkIE7</v>
      </c>
      <c r="AO159" s="79"/>
      <c r="AP159" s="81">
        <v>42445.35119212963</v>
      </c>
      <c r="AQ159" s="84" t="str">
        <f>HYPERLINK("https://pbs.twimg.com/profile_banners/710019200719450112/1550151304")</f>
        <v>https://pbs.twimg.com/profile_banners/710019200719450112/1550151304</v>
      </c>
      <c r="AR159" s="79" t="b">
        <v>0</v>
      </c>
      <c r="AS159" s="79" t="b">
        <v>0</v>
      </c>
      <c r="AT159" s="79" t="b">
        <v>1</v>
      </c>
      <c r="AU159" s="79"/>
      <c r="AV159" s="79">
        <v>125</v>
      </c>
      <c r="AW159" s="84" t="str">
        <f>HYPERLINK("https://abs.twimg.com/images/themes/theme1/bg.png")</f>
        <v>https://abs.twimg.com/images/themes/theme1/bg.png</v>
      </c>
      <c r="AX159" s="79" t="b">
        <v>0</v>
      </c>
      <c r="AY159" s="79" t="s">
        <v>1601</v>
      </c>
      <c r="AZ159" s="84" t="str">
        <f>HYPERLINK("https://twitter.com/fooding1st")</f>
        <v>https://twitter.com/fooding1st</v>
      </c>
      <c r="BA159" s="79" t="s">
        <v>66</v>
      </c>
      <c r="BB159" s="79" t="str">
        <f>REPLACE(INDEX(GroupVertices[Group],MATCH(Vertices[[#This Row],[Vertex]],GroupVertices[Vertex],0)),1,1,"")</f>
        <v>3</v>
      </c>
      <c r="BC159" s="49" t="s">
        <v>1856</v>
      </c>
      <c r="BD159" s="49" t="s">
        <v>1856</v>
      </c>
      <c r="BE159" s="49" t="s">
        <v>543</v>
      </c>
      <c r="BF159" s="49" t="s">
        <v>543</v>
      </c>
      <c r="BG159" s="49" t="s">
        <v>562</v>
      </c>
      <c r="BH159" s="49" t="s">
        <v>562</v>
      </c>
      <c r="BI159" s="108" t="s">
        <v>2332</v>
      </c>
      <c r="BJ159" s="108" t="s">
        <v>2332</v>
      </c>
      <c r="BK159" s="108" t="s">
        <v>2400</v>
      </c>
      <c r="BL159" s="108" t="s">
        <v>2400</v>
      </c>
      <c r="BM159" s="108">
        <v>1</v>
      </c>
      <c r="BN159" s="111">
        <v>5.882352941176471</v>
      </c>
      <c r="BO159" s="108">
        <v>1</v>
      </c>
      <c r="BP159" s="111">
        <v>5.882352941176471</v>
      </c>
      <c r="BQ159" s="108">
        <v>0</v>
      </c>
      <c r="BR159" s="111">
        <v>0</v>
      </c>
      <c r="BS159" s="108">
        <v>15</v>
      </c>
      <c r="BT159" s="111">
        <v>88.23529411764706</v>
      </c>
      <c r="BU159" s="108">
        <v>17</v>
      </c>
      <c r="BV159" s="2"/>
      <c r="BW159" s="3"/>
      <c r="BX159" s="3"/>
      <c r="BY159" s="3"/>
      <c r="BZ159" s="3"/>
    </row>
    <row r="160" spans="1:78" ht="41.45" customHeight="1">
      <c r="A160" s="65" t="s">
        <v>352</v>
      </c>
      <c r="C160" s="66"/>
      <c r="D160" s="66" t="s">
        <v>64</v>
      </c>
      <c r="E160" s="67">
        <v>163.0781713773792</v>
      </c>
      <c r="F160" s="69"/>
      <c r="G160" s="103" t="str">
        <f>HYPERLINK("https://pbs.twimg.com/profile_images/1197225094000582657/OIolEPeF_normal.jpg")</f>
        <v>https://pbs.twimg.com/profile_images/1197225094000582657/OIolEPeF_normal.jpg</v>
      </c>
      <c r="H160" s="66"/>
      <c r="I160" s="70" t="s">
        <v>352</v>
      </c>
      <c r="J160" s="71"/>
      <c r="K160" s="71"/>
      <c r="L160" s="70" t="s">
        <v>1758</v>
      </c>
      <c r="M160" s="74">
        <v>1.8248517595055675</v>
      </c>
      <c r="N160" s="75">
        <v>4195.4326171875</v>
      </c>
      <c r="O160" s="75">
        <v>7555.46923828125</v>
      </c>
      <c r="P160" s="76"/>
      <c r="Q160" s="77"/>
      <c r="R160" s="77"/>
      <c r="S160" s="89"/>
      <c r="T160" s="49">
        <v>1</v>
      </c>
      <c r="U160" s="49">
        <v>2</v>
      </c>
      <c r="V160" s="50">
        <v>1</v>
      </c>
      <c r="W160" s="50">
        <v>0.006211</v>
      </c>
      <c r="X160" s="50">
        <v>0.000672</v>
      </c>
      <c r="Y160" s="50">
        <v>0.840238</v>
      </c>
      <c r="Z160" s="50">
        <v>0.3333333333333333</v>
      </c>
      <c r="AA160" s="50">
        <v>0</v>
      </c>
      <c r="AB160" s="72">
        <v>160</v>
      </c>
      <c r="AC160" s="72"/>
      <c r="AD160" s="73"/>
      <c r="AE160" s="79" t="s">
        <v>1165</v>
      </c>
      <c r="AF160" s="88" t="s">
        <v>1325</v>
      </c>
      <c r="AG160" s="79">
        <v>4761</v>
      </c>
      <c r="AH160" s="79">
        <v>2137</v>
      </c>
      <c r="AI160" s="79">
        <v>3965</v>
      </c>
      <c r="AJ160" s="79">
        <v>13308</v>
      </c>
      <c r="AK160" s="79"/>
      <c r="AL160" s="79" t="s">
        <v>1486</v>
      </c>
      <c r="AM160" s="79"/>
      <c r="AN160" s="84" t="str">
        <f>HYPERLINK("https://t.co/uQvruaLYa0")</f>
        <v>https://t.co/uQvruaLYa0</v>
      </c>
      <c r="AO160" s="79"/>
      <c r="AP160" s="81">
        <v>40899.71795138889</v>
      </c>
      <c r="AQ160" s="84" t="str">
        <f>HYPERLINK("https://pbs.twimg.com/profile_banners/443891125/1574276071")</f>
        <v>https://pbs.twimg.com/profile_banners/443891125/1574276071</v>
      </c>
      <c r="AR160" s="79" t="b">
        <v>1</v>
      </c>
      <c r="AS160" s="79" t="b">
        <v>0</v>
      </c>
      <c r="AT160" s="79" t="b">
        <v>0</v>
      </c>
      <c r="AU160" s="79"/>
      <c r="AV160" s="79">
        <v>39</v>
      </c>
      <c r="AW160" s="84" t="str">
        <f>HYPERLINK("https://abs.twimg.com/images/themes/theme1/bg.png")</f>
        <v>https://abs.twimg.com/images/themes/theme1/bg.png</v>
      </c>
      <c r="AX160" s="79" t="b">
        <v>0</v>
      </c>
      <c r="AY160" s="79" t="s">
        <v>1601</v>
      </c>
      <c r="AZ160" s="84" t="str">
        <f>HYPERLINK("https://twitter.com/protein_report")</f>
        <v>https://twitter.com/protein_report</v>
      </c>
      <c r="BA160" s="79" t="s">
        <v>66</v>
      </c>
      <c r="BB160" s="79" t="str">
        <f>REPLACE(INDEX(GroupVertices[Group],MATCH(Vertices[[#This Row],[Vertex]],GroupVertices[Vertex],0)),1,1,"")</f>
        <v>3</v>
      </c>
      <c r="BC160" s="49" t="s">
        <v>1854</v>
      </c>
      <c r="BD160" s="49" t="s">
        <v>1854</v>
      </c>
      <c r="BE160" s="49" t="s">
        <v>543</v>
      </c>
      <c r="BF160" s="49" t="s">
        <v>543</v>
      </c>
      <c r="BG160" s="49" t="s">
        <v>563</v>
      </c>
      <c r="BH160" s="49" t="s">
        <v>563</v>
      </c>
      <c r="BI160" s="108" t="s">
        <v>2333</v>
      </c>
      <c r="BJ160" s="108" t="s">
        <v>2333</v>
      </c>
      <c r="BK160" s="108" t="s">
        <v>2401</v>
      </c>
      <c r="BL160" s="108" t="s">
        <v>2401</v>
      </c>
      <c r="BM160" s="108">
        <v>1</v>
      </c>
      <c r="BN160" s="111">
        <v>3.8461538461538463</v>
      </c>
      <c r="BO160" s="108">
        <v>0</v>
      </c>
      <c r="BP160" s="111">
        <v>0</v>
      </c>
      <c r="BQ160" s="108">
        <v>0</v>
      </c>
      <c r="BR160" s="111">
        <v>0</v>
      </c>
      <c r="BS160" s="108">
        <v>25</v>
      </c>
      <c r="BT160" s="111">
        <v>96.15384615384616</v>
      </c>
      <c r="BU160" s="108">
        <v>26</v>
      </c>
      <c r="BV160" s="2"/>
      <c r="BW160" s="3"/>
      <c r="BX160" s="3"/>
      <c r="BY160" s="3"/>
      <c r="BZ160" s="3"/>
    </row>
    <row r="161" spans="1:78" ht="41.45" customHeight="1">
      <c r="A161" s="65" t="s">
        <v>402</v>
      </c>
      <c r="C161" s="66"/>
      <c r="D161" s="66" t="s">
        <v>64</v>
      </c>
      <c r="E161" s="67">
        <v>162.07668790330447</v>
      </c>
      <c r="F161" s="69"/>
      <c r="G161" s="103" t="str">
        <f>HYPERLINK("https://pbs.twimg.com/profile_images/1330255026867073024/gYcqGqRX_normal.jpg")</f>
        <v>https://pbs.twimg.com/profile_images/1330255026867073024/gYcqGqRX_normal.jpg</v>
      </c>
      <c r="H161" s="66"/>
      <c r="I161" s="70" t="s">
        <v>402</v>
      </c>
      <c r="J161" s="71"/>
      <c r="K161" s="71"/>
      <c r="L161" s="70" t="s">
        <v>1759</v>
      </c>
      <c r="M161" s="74">
        <v>1.0586698490616968</v>
      </c>
      <c r="N161" s="75">
        <v>3999.501708984375</v>
      </c>
      <c r="O161" s="75">
        <v>7399.86083984375</v>
      </c>
      <c r="P161" s="76"/>
      <c r="Q161" s="77"/>
      <c r="R161" s="77"/>
      <c r="S161" s="89"/>
      <c r="T161" s="49">
        <v>2</v>
      </c>
      <c r="U161" s="49">
        <v>0</v>
      </c>
      <c r="V161" s="50">
        <v>0</v>
      </c>
      <c r="W161" s="50">
        <v>0.006173</v>
      </c>
      <c r="X161" s="50">
        <v>0.00062</v>
      </c>
      <c r="Y161" s="50">
        <v>0.592362</v>
      </c>
      <c r="Z161" s="50">
        <v>0.5</v>
      </c>
      <c r="AA161" s="50">
        <v>0</v>
      </c>
      <c r="AB161" s="72">
        <v>161</v>
      </c>
      <c r="AC161" s="72"/>
      <c r="AD161" s="73"/>
      <c r="AE161" s="79" t="s">
        <v>1166</v>
      </c>
      <c r="AF161" s="88" t="s">
        <v>1326</v>
      </c>
      <c r="AG161" s="79">
        <v>266</v>
      </c>
      <c r="AH161" s="79">
        <v>152</v>
      </c>
      <c r="AI161" s="79">
        <v>34</v>
      </c>
      <c r="AJ161" s="79">
        <v>173</v>
      </c>
      <c r="AK161" s="79"/>
      <c r="AL161" s="79" t="s">
        <v>1487</v>
      </c>
      <c r="AM161" s="79" t="s">
        <v>1595</v>
      </c>
      <c r="AN161" s="84" t="str">
        <f>HYPERLINK("https://t.co/0VyzvTEBxe")</f>
        <v>https://t.co/0VyzvTEBxe</v>
      </c>
      <c r="AO161" s="79"/>
      <c r="AP161" s="81">
        <v>44156.872395833336</v>
      </c>
      <c r="AQ161" s="79"/>
      <c r="AR161" s="79" t="b">
        <v>1</v>
      </c>
      <c r="AS161" s="79" t="b">
        <v>0</v>
      </c>
      <c r="AT161" s="79" t="b">
        <v>0</v>
      </c>
      <c r="AU161" s="79"/>
      <c r="AV161" s="79">
        <v>9</v>
      </c>
      <c r="AW161" s="79"/>
      <c r="AX161" s="79" t="b">
        <v>0</v>
      </c>
      <c r="AY161" s="79" t="s">
        <v>1601</v>
      </c>
      <c r="AZ161" s="84" t="str">
        <f>HYPERLINK("https://twitter.com/comogale")</f>
        <v>https://twitter.com/comogale</v>
      </c>
      <c r="BA161" s="79" t="s">
        <v>65</v>
      </c>
      <c r="BB161" s="79" t="str">
        <f>REPLACE(INDEX(GroupVertices[Group],MATCH(Vertices[[#This Row],[Vertex]],GroupVertices[Vertex],0)),1,1,"")</f>
        <v>3</v>
      </c>
      <c r="BC161" s="49"/>
      <c r="BD161" s="49"/>
      <c r="BE161" s="49"/>
      <c r="BF161" s="49"/>
      <c r="BG161" s="49"/>
      <c r="BH161" s="49"/>
      <c r="BI161" s="49"/>
      <c r="BJ161" s="49"/>
      <c r="BK161" s="49"/>
      <c r="BL161" s="49"/>
      <c r="BM161" s="49"/>
      <c r="BN161" s="50"/>
      <c r="BO161" s="49"/>
      <c r="BP161" s="50"/>
      <c r="BQ161" s="49"/>
      <c r="BR161" s="50"/>
      <c r="BS161" s="49"/>
      <c r="BT161" s="50"/>
      <c r="BU161" s="49"/>
      <c r="BV161" s="2"/>
      <c r="BW161" s="3"/>
      <c r="BX161" s="3"/>
      <c r="BY161" s="3"/>
      <c r="BZ161" s="3"/>
    </row>
    <row r="162" spans="1:78" ht="41.45" customHeight="1">
      <c r="A162" s="65" t="s">
        <v>364</v>
      </c>
      <c r="C162" s="66"/>
      <c r="D162" s="66" t="s">
        <v>64</v>
      </c>
      <c r="E162" s="67">
        <v>163.57462464613965</v>
      </c>
      <c r="F162" s="69"/>
      <c r="G162" s="103" t="str">
        <f>HYPERLINK("https://pbs.twimg.com/profile_images/1032774523739762694/6PxyeNw5_normal.jpg")</f>
        <v>https://pbs.twimg.com/profile_images/1032774523739762694/6PxyeNw5_normal.jpg</v>
      </c>
      <c r="H162" s="66"/>
      <c r="I162" s="70" t="s">
        <v>364</v>
      </c>
      <c r="J162" s="71"/>
      <c r="K162" s="71"/>
      <c r="L162" s="70" t="s">
        <v>1760</v>
      </c>
      <c r="M162" s="74">
        <v>2.2046618350102367</v>
      </c>
      <c r="N162" s="75">
        <v>7224.29150390625</v>
      </c>
      <c r="O162" s="75">
        <v>6151.79443359375</v>
      </c>
      <c r="P162" s="76"/>
      <c r="Q162" s="77"/>
      <c r="R162" s="77"/>
      <c r="S162" s="89"/>
      <c r="T162" s="49">
        <v>6</v>
      </c>
      <c r="U162" s="49">
        <v>2</v>
      </c>
      <c r="V162" s="50">
        <v>427</v>
      </c>
      <c r="W162" s="50">
        <v>0.006452</v>
      </c>
      <c r="X162" s="50">
        <v>0.000637</v>
      </c>
      <c r="Y162" s="50">
        <v>1.663421</v>
      </c>
      <c r="Z162" s="50">
        <v>0.15</v>
      </c>
      <c r="AA162" s="50">
        <v>0.2</v>
      </c>
      <c r="AB162" s="72">
        <v>162</v>
      </c>
      <c r="AC162" s="72"/>
      <c r="AD162" s="73"/>
      <c r="AE162" s="79" t="s">
        <v>1167</v>
      </c>
      <c r="AF162" s="88" t="s">
        <v>1327</v>
      </c>
      <c r="AG162" s="79">
        <v>1613</v>
      </c>
      <c r="AH162" s="79">
        <v>3121</v>
      </c>
      <c r="AI162" s="79">
        <v>4175</v>
      </c>
      <c r="AJ162" s="79">
        <v>4214</v>
      </c>
      <c r="AK162" s="79"/>
      <c r="AL162" s="79" t="s">
        <v>1488</v>
      </c>
      <c r="AM162" s="79" t="s">
        <v>1596</v>
      </c>
      <c r="AN162" s="84" t="str">
        <f>HYPERLINK("https://t.co/GJGW9n11Qi")</f>
        <v>https://t.co/GJGW9n11Qi</v>
      </c>
      <c r="AO162" s="79"/>
      <c r="AP162" s="81">
        <v>43081.23804398148</v>
      </c>
      <c r="AQ162" s="84" t="str">
        <f>HYPERLINK("https://pbs.twimg.com/profile_banners/940456876675817473/1513620286")</f>
        <v>https://pbs.twimg.com/profile_banners/940456876675817473/1513620286</v>
      </c>
      <c r="AR162" s="79" t="b">
        <v>0</v>
      </c>
      <c r="AS162" s="79" t="b">
        <v>0</v>
      </c>
      <c r="AT162" s="79" t="b">
        <v>1</v>
      </c>
      <c r="AU162" s="79"/>
      <c r="AV162" s="79">
        <v>74</v>
      </c>
      <c r="AW162" s="84" t="str">
        <f>HYPERLINK("https://abs.twimg.com/images/themes/theme1/bg.png")</f>
        <v>https://abs.twimg.com/images/themes/theme1/bg.png</v>
      </c>
      <c r="AX162" s="79" t="b">
        <v>0</v>
      </c>
      <c r="AY162" s="79" t="s">
        <v>1601</v>
      </c>
      <c r="AZ162" s="84" t="str">
        <f>HYPERLINK("https://twitter.com/cellagritech")</f>
        <v>https://twitter.com/cellagritech</v>
      </c>
      <c r="BA162" s="79" t="s">
        <v>66</v>
      </c>
      <c r="BB162" s="79" t="str">
        <f>REPLACE(INDEX(GroupVertices[Group],MATCH(Vertices[[#This Row],[Vertex]],GroupVertices[Vertex],0)),1,1,"")</f>
        <v>10</v>
      </c>
      <c r="BC162" s="49" t="s">
        <v>1887</v>
      </c>
      <c r="BD162" s="49" t="s">
        <v>1887</v>
      </c>
      <c r="BE162" s="49" t="s">
        <v>1917</v>
      </c>
      <c r="BF162" s="49" t="s">
        <v>1917</v>
      </c>
      <c r="BG162" s="49" t="s">
        <v>1961</v>
      </c>
      <c r="BH162" s="49" t="s">
        <v>2273</v>
      </c>
      <c r="BI162" s="108" t="s">
        <v>2334</v>
      </c>
      <c r="BJ162" s="108" t="s">
        <v>2351</v>
      </c>
      <c r="BK162" s="108" t="s">
        <v>2159</v>
      </c>
      <c r="BL162" s="108" t="s">
        <v>2415</v>
      </c>
      <c r="BM162" s="108">
        <v>1</v>
      </c>
      <c r="BN162" s="111">
        <v>1.492537313432836</v>
      </c>
      <c r="BO162" s="108">
        <v>0</v>
      </c>
      <c r="BP162" s="111">
        <v>0</v>
      </c>
      <c r="BQ162" s="108">
        <v>0</v>
      </c>
      <c r="BR162" s="111">
        <v>0</v>
      </c>
      <c r="BS162" s="108">
        <v>66</v>
      </c>
      <c r="BT162" s="111">
        <v>98.50746268656717</v>
      </c>
      <c r="BU162" s="108">
        <v>67</v>
      </c>
      <c r="BV162" s="2"/>
      <c r="BW162" s="3"/>
      <c r="BX162" s="3"/>
      <c r="BY162" s="3"/>
      <c r="BZ162" s="3"/>
    </row>
    <row r="163" spans="1:78" ht="41.45" customHeight="1">
      <c r="A163" s="65" t="s">
        <v>354</v>
      </c>
      <c r="C163" s="66"/>
      <c r="D163" s="66" t="s">
        <v>64</v>
      </c>
      <c r="E163" s="67">
        <v>168.875171436381</v>
      </c>
      <c r="F163" s="69"/>
      <c r="G163" s="103" t="str">
        <f>HYPERLINK("https://pbs.twimg.com/profile_images/1447420542437531648/PmDVadZY_normal.jpg")</f>
        <v>https://pbs.twimg.com/profile_images/1447420542437531648/PmDVadZY_normal.jpg</v>
      </c>
      <c r="H163" s="66"/>
      <c r="I163" s="70" t="s">
        <v>354</v>
      </c>
      <c r="J163" s="71"/>
      <c r="K163" s="71"/>
      <c r="L163" s="70" t="s">
        <v>1761</v>
      </c>
      <c r="M163" s="74">
        <v>6.259829165550944</v>
      </c>
      <c r="N163" s="75">
        <v>2532.35546875</v>
      </c>
      <c r="O163" s="75">
        <v>1145.1734619140625</v>
      </c>
      <c r="P163" s="76"/>
      <c r="Q163" s="77"/>
      <c r="R163" s="77"/>
      <c r="S163" s="89"/>
      <c r="T163" s="49">
        <v>1</v>
      </c>
      <c r="U163" s="49">
        <v>1</v>
      </c>
      <c r="V163" s="50">
        <v>0</v>
      </c>
      <c r="W163" s="50">
        <v>0</v>
      </c>
      <c r="X163" s="50">
        <v>0</v>
      </c>
      <c r="Y163" s="50">
        <v>0.999997</v>
      </c>
      <c r="Z163" s="50">
        <v>0</v>
      </c>
      <c r="AA163" s="50">
        <v>0</v>
      </c>
      <c r="AB163" s="72">
        <v>163</v>
      </c>
      <c r="AC163" s="72"/>
      <c r="AD163" s="73"/>
      <c r="AE163" s="79" t="s">
        <v>1168</v>
      </c>
      <c r="AF163" s="88" t="s">
        <v>1328</v>
      </c>
      <c r="AG163" s="79">
        <v>7730</v>
      </c>
      <c r="AH163" s="79">
        <v>13627</v>
      </c>
      <c r="AI163" s="79">
        <v>36552</v>
      </c>
      <c r="AJ163" s="79">
        <v>22823</v>
      </c>
      <c r="AK163" s="79"/>
      <c r="AL163" s="79" t="s">
        <v>1489</v>
      </c>
      <c r="AM163" s="79" t="s">
        <v>1597</v>
      </c>
      <c r="AN163" s="84" t="str">
        <f>HYPERLINK("https://t.co/49HeQXoKwD")</f>
        <v>https://t.co/49HeQXoKwD</v>
      </c>
      <c r="AO163" s="79"/>
      <c r="AP163" s="81">
        <v>39942.87664351852</v>
      </c>
      <c r="AQ163" s="84" t="str">
        <f>HYPERLINK("https://pbs.twimg.com/profile_banners/38927264/1631427527")</f>
        <v>https://pbs.twimg.com/profile_banners/38927264/1631427527</v>
      </c>
      <c r="AR163" s="79" t="b">
        <v>0</v>
      </c>
      <c r="AS163" s="79" t="b">
        <v>0</v>
      </c>
      <c r="AT163" s="79" t="b">
        <v>1</v>
      </c>
      <c r="AU163" s="79"/>
      <c r="AV163" s="79">
        <v>738</v>
      </c>
      <c r="AW163" s="84" t="str">
        <f>HYPERLINK("https://abs.twimg.com/images/themes/theme1/bg.png")</f>
        <v>https://abs.twimg.com/images/themes/theme1/bg.png</v>
      </c>
      <c r="AX163" s="79" t="b">
        <v>1</v>
      </c>
      <c r="AY163" s="79" t="s">
        <v>1601</v>
      </c>
      <c r="AZ163" s="84" t="str">
        <f>HYPERLINK("https://twitter.com/ryanbethencourt")</f>
        <v>https://twitter.com/ryanbethencourt</v>
      </c>
      <c r="BA163" s="79" t="s">
        <v>66</v>
      </c>
      <c r="BB163" s="79" t="str">
        <f>REPLACE(INDEX(GroupVertices[Group],MATCH(Vertices[[#This Row],[Vertex]],GroupVertices[Vertex],0)),1,1,"")</f>
        <v>2</v>
      </c>
      <c r="BC163" s="49" t="s">
        <v>2259</v>
      </c>
      <c r="BD163" s="49" t="s">
        <v>2259</v>
      </c>
      <c r="BE163" s="49" t="s">
        <v>545</v>
      </c>
      <c r="BF163" s="49" t="s">
        <v>545</v>
      </c>
      <c r="BG163" s="49"/>
      <c r="BH163" s="49"/>
      <c r="BI163" s="108" t="s">
        <v>2335</v>
      </c>
      <c r="BJ163" s="108" t="s">
        <v>2335</v>
      </c>
      <c r="BK163" s="108" t="s">
        <v>2402</v>
      </c>
      <c r="BL163" s="108" t="s">
        <v>2402</v>
      </c>
      <c r="BM163" s="108">
        <v>0</v>
      </c>
      <c r="BN163" s="111">
        <v>0</v>
      </c>
      <c r="BO163" s="108">
        <v>0</v>
      </c>
      <c r="BP163" s="111">
        <v>0</v>
      </c>
      <c r="BQ163" s="108">
        <v>0</v>
      </c>
      <c r="BR163" s="111">
        <v>0</v>
      </c>
      <c r="BS163" s="108">
        <v>7</v>
      </c>
      <c r="BT163" s="111">
        <v>100</v>
      </c>
      <c r="BU163" s="108">
        <v>7</v>
      </c>
      <c r="BV163" s="2"/>
      <c r="BW163" s="3"/>
      <c r="BX163" s="3"/>
      <c r="BY163" s="3"/>
      <c r="BZ163" s="3"/>
    </row>
    <row r="164" spans="1:78" ht="41.45" customHeight="1">
      <c r="A164" s="65" t="s">
        <v>355</v>
      </c>
      <c r="C164" s="66"/>
      <c r="D164" s="66" t="s">
        <v>64</v>
      </c>
      <c r="E164" s="67">
        <v>163.26030514772728</v>
      </c>
      <c r="F164" s="69"/>
      <c r="G164" s="103" t="str">
        <f>HYPERLINK("https://pbs.twimg.com/profile_images/1432380149824212994/ozjnG5o3_normal.jpg")</f>
        <v>https://pbs.twimg.com/profile_images/1432380149824212994/ozjnG5o3_normal.jpg</v>
      </c>
      <c r="H164" s="66"/>
      <c r="I164" s="70" t="s">
        <v>355</v>
      </c>
      <c r="J164" s="71"/>
      <c r="K164" s="71"/>
      <c r="L164" s="70" t="s">
        <v>1762</v>
      </c>
      <c r="M164" s="74">
        <v>1.9641926510270977</v>
      </c>
      <c r="N164" s="75">
        <v>6666</v>
      </c>
      <c r="O164" s="75">
        <v>5863.2880859375</v>
      </c>
      <c r="P164" s="76"/>
      <c r="Q164" s="77"/>
      <c r="R164" s="77"/>
      <c r="S164" s="89"/>
      <c r="T164" s="49">
        <v>0</v>
      </c>
      <c r="U164" s="49">
        <v>2</v>
      </c>
      <c r="V164" s="50">
        <v>0</v>
      </c>
      <c r="W164" s="50">
        <v>0.004762</v>
      </c>
      <c r="X164" s="50">
        <v>5.8E-05</v>
      </c>
      <c r="Y164" s="50">
        <v>0.641374</v>
      </c>
      <c r="Z164" s="50">
        <v>1</v>
      </c>
      <c r="AA164" s="50">
        <v>0</v>
      </c>
      <c r="AB164" s="72">
        <v>164</v>
      </c>
      <c r="AC164" s="72"/>
      <c r="AD164" s="73"/>
      <c r="AE164" s="79" t="s">
        <v>1169</v>
      </c>
      <c r="AF164" s="88" t="s">
        <v>1329</v>
      </c>
      <c r="AG164" s="79">
        <v>3436</v>
      </c>
      <c r="AH164" s="79">
        <v>2498</v>
      </c>
      <c r="AI164" s="79">
        <v>31933</v>
      </c>
      <c r="AJ164" s="79">
        <v>30484</v>
      </c>
      <c r="AK164" s="79"/>
      <c r="AL164" s="79" t="s">
        <v>1490</v>
      </c>
      <c r="AM164" s="79" t="s">
        <v>1598</v>
      </c>
      <c r="AN164" s="84" t="str">
        <f>HYPERLINK("https://t.co/BbWtOsObOd")</f>
        <v>https://t.co/BbWtOsObOd</v>
      </c>
      <c r="AO164" s="79"/>
      <c r="AP164" s="81">
        <v>40829.37815972222</v>
      </c>
      <c r="AQ164" s="84" t="str">
        <f>HYPERLINK("https://pbs.twimg.com/profile_banners/389988390/1617471852")</f>
        <v>https://pbs.twimg.com/profile_banners/389988390/1617471852</v>
      </c>
      <c r="AR164" s="79" t="b">
        <v>1</v>
      </c>
      <c r="AS164" s="79" t="b">
        <v>0</v>
      </c>
      <c r="AT164" s="79" t="b">
        <v>0</v>
      </c>
      <c r="AU164" s="79"/>
      <c r="AV164" s="79">
        <v>12</v>
      </c>
      <c r="AW164" s="84" t="str">
        <f>HYPERLINK("https://abs.twimg.com/images/themes/theme1/bg.png")</f>
        <v>https://abs.twimg.com/images/themes/theme1/bg.png</v>
      </c>
      <c r="AX164" s="79" t="b">
        <v>0</v>
      </c>
      <c r="AY164" s="79" t="s">
        <v>1601</v>
      </c>
      <c r="AZ164" s="84" t="str">
        <f>HYPERLINK("https://twitter.com/stevecjjones")</f>
        <v>https://twitter.com/stevecjjones</v>
      </c>
      <c r="BA164" s="79" t="s">
        <v>66</v>
      </c>
      <c r="BB164" s="79" t="str">
        <f>REPLACE(INDEX(GroupVertices[Group],MATCH(Vertices[[#This Row],[Vertex]],GroupVertices[Vertex],0)),1,1,"")</f>
        <v>10</v>
      </c>
      <c r="BC164" s="49" t="s">
        <v>1829</v>
      </c>
      <c r="BD164" s="49" t="s">
        <v>1829</v>
      </c>
      <c r="BE164" s="49" t="s">
        <v>546</v>
      </c>
      <c r="BF164" s="49" t="s">
        <v>546</v>
      </c>
      <c r="BG164" s="49" t="s">
        <v>565</v>
      </c>
      <c r="BH164" s="49" t="s">
        <v>565</v>
      </c>
      <c r="BI164" s="108" t="s">
        <v>2336</v>
      </c>
      <c r="BJ164" s="108" t="s">
        <v>2336</v>
      </c>
      <c r="BK164" s="108" t="s">
        <v>2403</v>
      </c>
      <c r="BL164" s="108" t="s">
        <v>2403</v>
      </c>
      <c r="BM164" s="108">
        <v>1</v>
      </c>
      <c r="BN164" s="111">
        <v>2.6315789473684212</v>
      </c>
      <c r="BO164" s="108">
        <v>0</v>
      </c>
      <c r="BP164" s="111">
        <v>0</v>
      </c>
      <c r="BQ164" s="108">
        <v>0</v>
      </c>
      <c r="BR164" s="111">
        <v>0</v>
      </c>
      <c r="BS164" s="108">
        <v>37</v>
      </c>
      <c r="BT164" s="111">
        <v>97.36842105263158</v>
      </c>
      <c r="BU164" s="108">
        <v>38</v>
      </c>
      <c r="BV164" s="2"/>
      <c r="BW164" s="3"/>
      <c r="BX164" s="3"/>
      <c r="BY164" s="3"/>
      <c r="BZ164" s="3"/>
    </row>
    <row r="165" spans="1:78" ht="41.45" customHeight="1">
      <c r="A165" s="65" t="s">
        <v>365</v>
      </c>
      <c r="C165" s="66"/>
      <c r="D165" s="66" t="s">
        <v>64</v>
      </c>
      <c r="E165" s="67">
        <v>162.14933960117185</v>
      </c>
      <c r="F165" s="69"/>
      <c r="G165" s="103" t="str">
        <f>HYPERLINK("https://pbs.twimg.com/profile_images/1334190529727303687/lyl9_7E6_normal.jpg")</f>
        <v>https://pbs.twimg.com/profile_images/1334190529727303687/lyl9_7E6_normal.jpg</v>
      </c>
      <c r="H165" s="66"/>
      <c r="I165" s="70" t="s">
        <v>365</v>
      </c>
      <c r="J165" s="71"/>
      <c r="K165" s="71"/>
      <c r="L165" s="70" t="s">
        <v>1763</v>
      </c>
      <c r="M165" s="74">
        <v>1.114251811330673</v>
      </c>
      <c r="N165" s="75">
        <v>6927.4130859375</v>
      </c>
      <c r="O165" s="75">
        <v>6350.33251953125</v>
      </c>
      <c r="P165" s="76"/>
      <c r="Q165" s="77"/>
      <c r="R165" s="77"/>
      <c r="S165" s="89"/>
      <c r="T165" s="49">
        <v>4</v>
      </c>
      <c r="U165" s="49">
        <v>1</v>
      </c>
      <c r="V165" s="50">
        <v>3</v>
      </c>
      <c r="W165" s="50">
        <v>0.004808</v>
      </c>
      <c r="X165" s="50">
        <v>6.7E-05</v>
      </c>
      <c r="Y165" s="50">
        <v>1.203403</v>
      </c>
      <c r="Z165" s="50">
        <v>0.25</v>
      </c>
      <c r="AA165" s="50">
        <v>0.25</v>
      </c>
      <c r="AB165" s="72">
        <v>165</v>
      </c>
      <c r="AC165" s="72"/>
      <c r="AD165" s="73"/>
      <c r="AE165" s="79" t="s">
        <v>1170</v>
      </c>
      <c r="AF165" s="88" t="s">
        <v>1330</v>
      </c>
      <c r="AG165" s="79">
        <v>167</v>
      </c>
      <c r="AH165" s="79">
        <v>296</v>
      </c>
      <c r="AI165" s="79">
        <v>57</v>
      </c>
      <c r="AJ165" s="79">
        <v>102</v>
      </c>
      <c r="AK165" s="79"/>
      <c r="AL165" s="79"/>
      <c r="AM165" s="79"/>
      <c r="AN165" s="79"/>
      <c r="AO165" s="79"/>
      <c r="AP165" s="81">
        <v>44018.69237268518</v>
      </c>
      <c r="AQ165" s="84" t="str">
        <f>HYPERLINK("https://pbs.twimg.com/profile_banners/1280178888640008194/1606930587")</f>
        <v>https://pbs.twimg.com/profile_banners/1280178888640008194/1606930587</v>
      </c>
      <c r="AR165" s="79" t="b">
        <v>1</v>
      </c>
      <c r="AS165" s="79" t="b">
        <v>0</v>
      </c>
      <c r="AT165" s="79" t="b">
        <v>0</v>
      </c>
      <c r="AU165" s="79"/>
      <c r="AV165" s="79">
        <v>8</v>
      </c>
      <c r="AW165" s="79"/>
      <c r="AX165" s="79" t="b">
        <v>0</v>
      </c>
      <c r="AY165" s="79" t="s">
        <v>1601</v>
      </c>
      <c r="AZ165" s="84" t="str">
        <f>HYPERLINK("https://twitter.com/hoxtonfarms")</f>
        <v>https://twitter.com/hoxtonfarms</v>
      </c>
      <c r="BA165" s="79" t="s">
        <v>66</v>
      </c>
      <c r="BB165" s="79" t="str">
        <f>REPLACE(INDEX(GroupVertices[Group],MATCH(Vertices[[#This Row],[Vertex]],GroupVertices[Vertex],0)),1,1,"")</f>
        <v>10</v>
      </c>
      <c r="BC165" s="49" t="s">
        <v>1829</v>
      </c>
      <c r="BD165" s="49" t="s">
        <v>1829</v>
      </c>
      <c r="BE165" s="49" t="s">
        <v>546</v>
      </c>
      <c r="BF165" s="49" t="s">
        <v>546</v>
      </c>
      <c r="BG165" s="49" t="s">
        <v>565</v>
      </c>
      <c r="BH165" s="49" t="s">
        <v>565</v>
      </c>
      <c r="BI165" s="108" t="s">
        <v>2336</v>
      </c>
      <c r="BJ165" s="108" t="s">
        <v>2336</v>
      </c>
      <c r="BK165" s="108" t="s">
        <v>2403</v>
      </c>
      <c r="BL165" s="108" t="s">
        <v>2403</v>
      </c>
      <c r="BM165" s="108">
        <v>1</v>
      </c>
      <c r="BN165" s="111">
        <v>2.6315789473684212</v>
      </c>
      <c r="BO165" s="108">
        <v>0</v>
      </c>
      <c r="BP165" s="111">
        <v>0</v>
      </c>
      <c r="BQ165" s="108">
        <v>0</v>
      </c>
      <c r="BR165" s="111">
        <v>0</v>
      </c>
      <c r="BS165" s="108">
        <v>37</v>
      </c>
      <c r="BT165" s="111">
        <v>97.36842105263158</v>
      </c>
      <c r="BU165" s="108">
        <v>38</v>
      </c>
      <c r="BV165" s="2"/>
      <c r="BW165" s="3"/>
      <c r="BX165" s="3"/>
      <c r="BY165" s="3"/>
      <c r="BZ165" s="3"/>
    </row>
    <row r="166" spans="1:78" ht="41.45" customHeight="1">
      <c r="A166" s="65" t="s">
        <v>356</v>
      </c>
      <c r="C166" s="66"/>
      <c r="D166" s="66" t="s">
        <v>64</v>
      </c>
      <c r="E166" s="67">
        <v>162.14328529301622</v>
      </c>
      <c r="F166" s="69"/>
      <c r="G166" s="103" t="str">
        <f>HYPERLINK("https://pbs.twimg.com/profile_images/1292852962075660289/2eauCFBV_normal.jpg")</f>
        <v>https://pbs.twimg.com/profile_images/1292852962075660289/2eauCFBV_normal.jpg</v>
      </c>
      <c r="H166" s="66"/>
      <c r="I166" s="70" t="s">
        <v>356</v>
      </c>
      <c r="J166" s="71"/>
      <c r="K166" s="71"/>
      <c r="L166" s="70" t="s">
        <v>1764</v>
      </c>
      <c r="M166" s="74">
        <v>1.1096199811415917</v>
      </c>
      <c r="N166" s="75">
        <v>6946.86083984375</v>
      </c>
      <c r="O166" s="75">
        <v>6779.4267578125</v>
      </c>
      <c r="P166" s="76"/>
      <c r="Q166" s="77"/>
      <c r="R166" s="77"/>
      <c r="S166" s="89"/>
      <c r="T166" s="49">
        <v>0</v>
      </c>
      <c r="U166" s="49">
        <v>2</v>
      </c>
      <c r="V166" s="50">
        <v>0</v>
      </c>
      <c r="W166" s="50">
        <v>0.004762</v>
      </c>
      <c r="X166" s="50">
        <v>5.8E-05</v>
      </c>
      <c r="Y166" s="50">
        <v>0.641374</v>
      </c>
      <c r="Z166" s="50">
        <v>1</v>
      </c>
      <c r="AA166" s="50">
        <v>0</v>
      </c>
      <c r="AB166" s="72">
        <v>166</v>
      </c>
      <c r="AC166" s="72"/>
      <c r="AD166" s="73"/>
      <c r="AE166" s="79" t="s">
        <v>1171</v>
      </c>
      <c r="AF166" s="88" t="s">
        <v>1331</v>
      </c>
      <c r="AG166" s="79">
        <v>268</v>
      </c>
      <c r="AH166" s="79">
        <v>284</v>
      </c>
      <c r="AI166" s="79">
        <v>1198</v>
      </c>
      <c r="AJ166" s="79">
        <v>299</v>
      </c>
      <c r="AK166" s="79"/>
      <c r="AL166" s="79" t="s">
        <v>1491</v>
      </c>
      <c r="AM166" s="79" t="s">
        <v>1575</v>
      </c>
      <c r="AN166" s="84" t="str">
        <f>HYPERLINK("https://t.co/CzDgi8BfPc")</f>
        <v>https://t.co/CzDgi8BfPc</v>
      </c>
      <c r="AO166" s="79"/>
      <c r="AP166" s="81">
        <v>43975.301712962966</v>
      </c>
      <c r="AQ166" s="84" t="str">
        <f>HYPERLINK("https://pbs.twimg.com/profile_banners/1264454606572019712/1611323604")</f>
        <v>https://pbs.twimg.com/profile_banners/1264454606572019712/1611323604</v>
      </c>
      <c r="AR166" s="79" t="b">
        <v>1</v>
      </c>
      <c r="AS166" s="79" t="b">
        <v>0</v>
      </c>
      <c r="AT166" s="79" t="b">
        <v>0</v>
      </c>
      <c r="AU166" s="79"/>
      <c r="AV166" s="79">
        <v>4</v>
      </c>
      <c r="AW166" s="79"/>
      <c r="AX166" s="79" t="b">
        <v>0</v>
      </c>
      <c r="AY166" s="79" t="s">
        <v>1601</v>
      </c>
      <c r="AZ166" s="84" t="str">
        <f>HYPERLINK("https://twitter.com/midoriecosystem")</f>
        <v>https://twitter.com/midoriecosystem</v>
      </c>
      <c r="BA166" s="79" t="s">
        <v>66</v>
      </c>
      <c r="BB166" s="79" t="str">
        <f>REPLACE(INDEX(GroupVertices[Group],MATCH(Vertices[[#This Row],[Vertex]],GroupVertices[Vertex],0)),1,1,"")</f>
        <v>10</v>
      </c>
      <c r="BC166" s="49" t="s">
        <v>1829</v>
      </c>
      <c r="BD166" s="49" t="s">
        <v>1829</v>
      </c>
      <c r="BE166" s="49" t="s">
        <v>546</v>
      </c>
      <c r="BF166" s="49" t="s">
        <v>546</v>
      </c>
      <c r="BG166" s="49" t="s">
        <v>565</v>
      </c>
      <c r="BH166" s="49" t="s">
        <v>565</v>
      </c>
      <c r="BI166" s="108" t="s">
        <v>2336</v>
      </c>
      <c r="BJ166" s="108" t="s">
        <v>2336</v>
      </c>
      <c r="BK166" s="108" t="s">
        <v>2403</v>
      </c>
      <c r="BL166" s="108" t="s">
        <v>2403</v>
      </c>
      <c r="BM166" s="108">
        <v>1</v>
      </c>
      <c r="BN166" s="111">
        <v>2.6315789473684212</v>
      </c>
      <c r="BO166" s="108">
        <v>0</v>
      </c>
      <c r="BP166" s="111">
        <v>0</v>
      </c>
      <c r="BQ166" s="108">
        <v>0</v>
      </c>
      <c r="BR166" s="111">
        <v>0</v>
      </c>
      <c r="BS166" s="108">
        <v>37</v>
      </c>
      <c r="BT166" s="111">
        <v>97.36842105263158</v>
      </c>
      <c r="BU166" s="108">
        <v>38</v>
      </c>
      <c r="BV166" s="2"/>
      <c r="BW166" s="3"/>
      <c r="BX166" s="3"/>
      <c r="BY166" s="3"/>
      <c r="BZ166" s="3"/>
    </row>
    <row r="167" spans="1:78" ht="41.45" customHeight="1">
      <c r="A167" s="65" t="s">
        <v>357</v>
      </c>
      <c r="C167" s="66"/>
      <c r="D167" s="66" t="s">
        <v>64</v>
      </c>
      <c r="E167" s="67">
        <v>162.09535535345094</v>
      </c>
      <c r="F167" s="69"/>
      <c r="G167" s="103" t="str">
        <f>HYPERLINK("https://pbs.twimg.com/profile_images/1107382866168725504/bPI0qCwA_normal.jpg")</f>
        <v>https://pbs.twimg.com/profile_images/1107382866168725504/bPI0qCwA_normal.jpg</v>
      </c>
      <c r="H167" s="66"/>
      <c r="I167" s="70" t="s">
        <v>357</v>
      </c>
      <c r="J167" s="71"/>
      <c r="K167" s="71"/>
      <c r="L167" s="70" t="s">
        <v>1765</v>
      </c>
      <c r="M167" s="74">
        <v>1.072951325478031</v>
      </c>
      <c r="N167" s="75">
        <v>7752.84765625</v>
      </c>
      <c r="O167" s="75">
        <v>6242.525390625</v>
      </c>
      <c r="P167" s="76"/>
      <c r="Q167" s="77"/>
      <c r="R167" s="77"/>
      <c r="S167" s="89"/>
      <c r="T167" s="49">
        <v>0</v>
      </c>
      <c r="U167" s="49">
        <v>2</v>
      </c>
      <c r="V167" s="50">
        <v>0</v>
      </c>
      <c r="W167" s="50">
        <v>0.004762</v>
      </c>
      <c r="X167" s="50">
        <v>5.8E-05</v>
      </c>
      <c r="Y167" s="50">
        <v>0.641374</v>
      </c>
      <c r="Z167" s="50">
        <v>1</v>
      </c>
      <c r="AA167" s="50">
        <v>0</v>
      </c>
      <c r="AB167" s="72">
        <v>167</v>
      </c>
      <c r="AC167" s="72"/>
      <c r="AD167" s="73"/>
      <c r="AE167" s="79" t="s">
        <v>1172</v>
      </c>
      <c r="AF167" s="88" t="s">
        <v>1332</v>
      </c>
      <c r="AG167" s="79">
        <v>224</v>
      </c>
      <c r="AH167" s="79">
        <v>189</v>
      </c>
      <c r="AI167" s="79">
        <v>1251</v>
      </c>
      <c r="AJ167" s="79">
        <v>92</v>
      </c>
      <c r="AK167" s="79"/>
      <c r="AL167" s="79" t="s">
        <v>1492</v>
      </c>
      <c r="AM167" s="79" t="s">
        <v>1599</v>
      </c>
      <c r="AN167" s="79"/>
      <c r="AO167" s="79"/>
      <c r="AP167" s="81">
        <v>43541.84135416667</v>
      </c>
      <c r="AQ167" s="84" t="str">
        <f>HYPERLINK("https://pbs.twimg.com/profile_banners/1107373927947489281/1552854727")</f>
        <v>https://pbs.twimg.com/profile_banners/1107373927947489281/1552854727</v>
      </c>
      <c r="AR167" s="79" t="b">
        <v>0</v>
      </c>
      <c r="AS167" s="79" t="b">
        <v>0</v>
      </c>
      <c r="AT167" s="79" t="b">
        <v>0</v>
      </c>
      <c r="AU167" s="79"/>
      <c r="AV167" s="79">
        <v>4</v>
      </c>
      <c r="AW167" s="84" t="str">
        <f>HYPERLINK("https://abs.twimg.com/images/themes/theme1/bg.png")</f>
        <v>https://abs.twimg.com/images/themes/theme1/bg.png</v>
      </c>
      <c r="AX167" s="79" t="b">
        <v>0</v>
      </c>
      <c r="AY167" s="79" t="s">
        <v>1601</v>
      </c>
      <c r="AZ167" s="84" t="str">
        <f>HYPERLINK("https://twitter.com/rexjeanna")</f>
        <v>https://twitter.com/rexjeanna</v>
      </c>
      <c r="BA167" s="79" t="s">
        <v>66</v>
      </c>
      <c r="BB167" s="79" t="str">
        <f>REPLACE(INDEX(GroupVertices[Group],MATCH(Vertices[[#This Row],[Vertex]],GroupVertices[Vertex],0)),1,1,"")</f>
        <v>10</v>
      </c>
      <c r="BC167" s="49" t="s">
        <v>1829</v>
      </c>
      <c r="BD167" s="49" t="s">
        <v>1829</v>
      </c>
      <c r="BE167" s="49" t="s">
        <v>546</v>
      </c>
      <c r="BF167" s="49" t="s">
        <v>546</v>
      </c>
      <c r="BG167" s="49" t="s">
        <v>565</v>
      </c>
      <c r="BH167" s="49" t="s">
        <v>565</v>
      </c>
      <c r="BI167" s="108" t="s">
        <v>2336</v>
      </c>
      <c r="BJ167" s="108" t="s">
        <v>2336</v>
      </c>
      <c r="BK167" s="108" t="s">
        <v>2403</v>
      </c>
      <c r="BL167" s="108" t="s">
        <v>2403</v>
      </c>
      <c r="BM167" s="108">
        <v>1</v>
      </c>
      <c r="BN167" s="111">
        <v>2.6315789473684212</v>
      </c>
      <c r="BO167" s="108">
        <v>0</v>
      </c>
      <c r="BP167" s="111">
        <v>0</v>
      </c>
      <c r="BQ167" s="108">
        <v>0</v>
      </c>
      <c r="BR167" s="111">
        <v>0</v>
      </c>
      <c r="BS167" s="108">
        <v>37</v>
      </c>
      <c r="BT167" s="111">
        <v>97.36842105263158</v>
      </c>
      <c r="BU167" s="108">
        <v>38</v>
      </c>
      <c r="BV167" s="2"/>
      <c r="BW167" s="3"/>
      <c r="BX167" s="3"/>
      <c r="BY167" s="3"/>
      <c r="BZ167" s="3"/>
    </row>
    <row r="168" spans="1:78" ht="41.45" customHeight="1">
      <c r="A168" s="65" t="s">
        <v>358</v>
      </c>
      <c r="C168" s="66"/>
      <c r="D168" s="66" t="s">
        <v>64</v>
      </c>
      <c r="E168" s="67">
        <v>162.01059503927232</v>
      </c>
      <c r="F168" s="69"/>
      <c r="G168" s="103" t="str">
        <f>HYPERLINK("https://pbs.twimg.com/profile_images/1364041291755974661/67okjKhI_normal.jpg")</f>
        <v>https://pbs.twimg.com/profile_images/1364041291755974661/67okjKhI_normal.jpg</v>
      </c>
      <c r="H168" s="66"/>
      <c r="I168" s="70" t="s">
        <v>358</v>
      </c>
      <c r="J168" s="71"/>
      <c r="K168" s="71"/>
      <c r="L168" s="70" t="s">
        <v>1766</v>
      </c>
      <c r="M168" s="74">
        <v>1.0081057028308924</v>
      </c>
      <c r="N168" s="75">
        <v>6275.0537109375</v>
      </c>
      <c r="O168" s="75">
        <v>8660.4697265625</v>
      </c>
      <c r="P168" s="76"/>
      <c r="Q168" s="77"/>
      <c r="R168" s="77"/>
      <c r="S168" s="89"/>
      <c r="T168" s="49">
        <v>0</v>
      </c>
      <c r="U168" s="49">
        <v>3</v>
      </c>
      <c r="V168" s="50">
        <v>22</v>
      </c>
      <c r="W168" s="50">
        <v>0.076923</v>
      </c>
      <c r="X168" s="50">
        <v>0</v>
      </c>
      <c r="Y168" s="50">
        <v>1.410989</v>
      </c>
      <c r="Z168" s="50">
        <v>0</v>
      </c>
      <c r="AA168" s="50">
        <v>0</v>
      </c>
      <c r="AB168" s="72">
        <v>168</v>
      </c>
      <c r="AC168" s="72"/>
      <c r="AD168" s="73"/>
      <c r="AE168" s="79" t="s">
        <v>1173</v>
      </c>
      <c r="AF168" s="88" t="s">
        <v>1333</v>
      </c>
      <c r="AG168" s="79">
        <v>56</v>
      </c>
      <c r="AH168" s="79">
        <v>21</v>
      </c>
      <c r="AI168" s="79">
        <v>38</v>
      </c>
      <c r="AJ168" s="79">
        <v>3</v>
      </c>
      <c r="AK168" s="79"/>
      <c r="AL168" s="79" t="s">
        <v>1493</v>
      </c>
      <c r="AM168" s="79"/>
      <c r="AN168" s="79"/>
      <c r="AO168" s="79"/>
      <c r="AP168" s="81">
        <v>44250.10796296296</v>
      </c>
      <c r="AQ168" s="79"/>
      <c r="AR168" s="79" t="b">
        <v>1</v>
      </c>
      <c r="AS168" s="79" t="b">
        <v>0</v>
      </c>
      <c r="AT168" s="79" t="b">
        <v>0</v>
      </c>
      <c r="AU168" s="79"/>
      <c r="AV168" s="79">
        <v>0</v>
      </c>
      <c r="AW168" s="79"/>
      <c r="AX168" s="79" t="b">
        <v>0</v>
      </c>
      <c r="AY168" s="79" t="s">
        <v>1601</v>
      </c>
      <c r="AZ168" s="84" t="str">
        <f>HYPERLINK("https://twitter.com/kzelickson")</f>
        <v>https://twitter.com/kzelickson</v>
      </c>
      <c r="BA168" s="79" t="s">
        <v>66</v>
      </c>
      <c r="BB168" s="79" t="str">
        <f>REPLACE(INDEX(GroupVertices[Group],MATCH(Vertices[[#This Row],[Vertex]],GroupVertices[Vertex],0)),1,1,"")</f>
        <v>6</v>
      </c>
      <c r="BC168" s="49" t="s">
        <v>1870</v>
      </c>
      <c r="BD168" s="49" t="s">
        <v>1870</v>
      </c>
      <c r="BE168" s="49" t="s">
        <v>522</v>
      </c>
      <c r="BF168" s="49" t="s">
        <v>522</v>
      </c>
      <c r="BG168" s="49" t="s">
        <v>566</v>
      </c>
      <c r="BH168" s="49" t="s">
        <v>566</v>
      </c>
      <c r="BI168" s="108" t="s">
        <v>2337</v>
      </c>
      <c r="BJ168" s="108" t="s">
        <v>2337</v>
      </c>
      <c r="BK168" s="108" t="s">
        <v>2404</v>
      </c>
      <c r="BL168" s="108" t="s">
        <v>2404</v>
      </c>
      <c r="BM168" s="108">
        <v>1</v>
      </c>
      <c r="BN168" s="111">
        <v>2.7027027027027026</v>
      </c>
      <c r="BO168" s="108">
        <v>0</v>
      </c>
      <c r="BP168" s="111">
        <v>0</v>
      </c>
      <c r="BQ168" s="108">
        <v>0</v>
      </c>
      <c r="BR168" s="111">
        <v>0</v>
      </c>
      <c r="BS168" s="108">
        <v>36</v>
      </c>
      <c r="BT168" s="111">
        <v>97.29729729729729</v>
      </c>
      <c r="BU168" s="108">
        <v>37</v>
      </c>
      <c r="BV168" s="2"/>
      <c r="BW168" s="3"/>
      <c r="BX168" s="3"/>
      <c r="BY168" s="3"/>
      <c r="BZ168" s="3"/>
    </row>
    <row r="169" spans="1:78" ht="41.45" customHeight="1">
      <c r="A169" s="65" t="s">
        <v>403</v>
      </c>
      <c r="C169" s="66"/>
      <c r="D169" s="66" t="s">
        <v>64</v>
      </c>
      <c r="E169" s="67">
        <v>163.3884546703545</v>
      </c>
      <c r="F169" s="69"/>
      <c r="G169" s="103" t="str">
        <f>HYPERLINK("https://pbs.twimg.com/profile_images/1317238137614082048/rmMD69wR_normal.png")</f>
        <v>https://pbs.twimg.com/profile_images/1317238137614082048/rmMD69wR_normal.png</v>
      </c>
      <c r="H169" s="66"/>
      <c r="I169" s="70" t="s">
        <v>403</v>
      </c>
      <c r="J169" s="71"/>
      <c r="K169" s="71"/>
      <c r="L169" s="70" t="s">
        <v>1767</v>
      </c>
      <c r="M169" s="74">
        <v>2.0622330566959857</v>
      </c>
      <c r="N169" s="75">
        <v>6311.0927734375</v>
      </c>
      <c r="O169" s="75">
        <v>9213.73828125</v>
      </c>
      <c r="P169" s="76"/>
      <c r="Q169" s="77"/>
      <c r="R169" s="77"/>
      <c r="S169" s="89"/>
      <c r="T169" s="49">
        <v>1</v>
      </c>
      <c r="U169" s="49">
        <v>0</v>
      </c>
      <c r="V169" s="50">
        <v>0</v>
      </c>
      <c r="W169" s="50">
        <v>0.052632</v>
      </c>
      <c r="X169" s="50">
        <v>0</v>
      </c>
      <c r="Y169" s="50">
        <v>0.54978</v>
      </c>
      <c r="Z169" s="50">
        <v>0</v>
      </c>
      <c r="AA169" s="50">
        <v>0</v>
      </c>
      <c r="AB169" s="72">
        <v>169</v>
      </c>
      <c r="AC169" s="72"/>
      <c r="AD169" s="73"/>
      <c r="AE169" s="79" t="s">
        <v>1174</v>
      </c>
      <c r="AF169" s="88" t="s">
        <v>1334</v>
      </c>
      <c r="AG169" s="79">
        <v>421</v>
      </c>
      <c r="AH169" s="79">
        <v>2752</v>
      </c>
      <c r="AI169" s="79">
        <v>392</v>
      </c>
      <c r="AJ169" s="79">
        <v>4072</v>
      </c>
      <c r="AK169" s="79"/>
      <c r="AL169" s="79" t="s">
        <v>1494</v>
      </c>
      <c r="AM169" s="79" t="s">
        <v>1529</v>
      </c>
      <c r="AN169" s="84" t="str">
        <f>HYPERLINK("https://t.co/cYcxNpgmcM")</f>
        <v>https://t.co/cYcxNpgmcM</v>
      </c>
      <c r="AO169" s="79"/>
      <c r="AP169" s="81">
        <v>43218.081342592595</v>
      </c>
      <c r="AQ169" s="84" t="str">
        <f>HYPERLINK("https://pbs.twimg.com/profile_banners/990047227367178242/1555732978")</f>
        <v>https://pbs.twimg.com/profile_banners/990047227367178242/1555732978</v>
      </c>
      <c r="AR169" s="79" t="b">
        <v>1</v>
      </c>
      <c r="AS169" s="79" t="b">
        <v>0</v>
      </c>
      <c r="AT169" s="79" t="b">
        <v>0</v>
      </c>
      <c r="AU169" s="79"/>
      <c r="AV169" s="79">
        <v>78</v>
      </c>
      <c r="AW169" s="79"/>
      <c r="AX169" s="79" t="b">
        <v>0</v>
      </c>
      <c r="AY169" s="79" t="s">
        <v>1601</v>
      </c>
      <c r="AZ169" s="84" t="str">
        <f>HYPERLINK("https://twitter.com/newagemeats")</f>
        <v>https://twitter.com/newagemeats</v>
      </c>
      <c r="BA169" s="79" t="s">
        <v>65</v>
      </c>
      <c r="BB169" s="79" t="str">
        <f>REPLACE(INDEX(GroupVertices[Group],MATCH(Vertices[[#This Row],[Vertex]],GroupVertices[Vertex],0)),1,1,"")</f>
        <v>6</v>
      </c>
      <c r="BC169" s="49"/>
      <c r="BD169" s="49"/>
      <c r="BE169" s="49"/>
      <c r="BF169" s="49"/>
      <c r="BG169" s="49"/>
      <c r="BH169" s="49"/>
      <c r="BI169" s="49"/>
      <c r="BJ169" s="49"/>
      <c r="BK169" s="49"/>
      <c r="BL169" s="49"/>
      <c r="BM169" s="49"/>
      <c r="BN169" s="50"/>
      <c r="BO169" s="49"/>
      <c r="BP169" s="50"/>
      <c r="BQ169" s="49"/>
      <c r="BR169" s="50"/>
      <c r="BS169" s="49"/>
      <c r="BT169" s="50"/>
      <c r="BU169" s="49"/>
      <c r="BV169" s="2"/>
      <c r="BW169" s="3"/>
      <c r="BX169" s="3"/>
      <c r="BY169" s="3"/>
      <c r="BZ169" s="3"/>
    </row>
    <row r="170" spans="1:78" ht="41.45" customHeight="1">
      <c r="A170" s="65" t="s">
        <v>404</v>
      </c>
      <c r="C170" s="66"/>
      <c r="D170" s="66" t="s">
        <v>64</v>
      </c>
      <c r="E170" s="67">
        <v>185.6173515893763</v>
      </c>
      <c r="F170" s="69"/>
      <c r="G170" s="103" t="str">
        <f>HYPERLINK("https://pbs.twimg.com/profile_images/1440688347836416006/bbz4zDMg_normal.jpg")</f>
        <v>https://pbs.twimg.com/profile_images/1440688347836416006/bbz4zDMg_normal.jpg</v>
      </c>
      <c r="H170" s="66"/>
      <c r="I170" s="70" t="s">
        <v>404</v>
      </c>
      <c r="J170" s="71"/>
      <c r="K170" s="71"/>
      <c r="L170" s="70" t="s">
        <v>1768</v>
      </c>
      <c r="M170" s="74">
        <v>19.068383581757193</v>
      </c>
      <c r="N170" s="75">
        <v>6622.52587890625</v>
      </c>
      <c r="O170" s="75">
        <v>8509.8330078125</v>
      </c>
      <c r="P170" s="76"/>
      <c r="Q170" s="77"/>
      <c r="R170" s="77"/>
      <c r="S170" s="89"/>
      <c r="T170" s="49">
        <v>1</v>
      </c>
      <c r="U170" s="49">
        <v>0</v>
      </c>
      <c r="V170" s="50">
        <v>0</v>
      </c>
      <c r="W170" s="50">
        <v>0.052632</v>
      </c>
      <c r="X170" s="50">
        <v>0</v>
      </c>
      <c r="Y170" s="50">
        <v>0.54978</v>
      </c>
      <c r="Z170" s="50">
        <v>0</v>
      </c>
      <c r="AA170" s="50">
        <v>0</v>
      </c>
      <c r="AB170" s="72">
        <v>170</v>
      </c>
      <c r="AC170" s="72"/>
      <c r="AD170" s="73"/>
      <c r="AE170" s="79" t="s">
        <v>1175</v>
      </c>
      <c r="AF170" s="88" t="s">
        <v>1335</v>
      </c>
      <c r="AG170" s="79">
        <v>454</v>
      </c>
      <c r="AH170" s="79">
        <v>46811</v>
      </c>
      <c r="AI170" s="79">
        <v>10795</v>
      </c>
      <c r="AJ170" s="79">
        <v>11425</v>
      </c>
      <c r="AK170" s="79"/>
      <c r="AL170" s="79" t="s">
        <v>1495</v>
      </c>
      <c r="AM170" s="79" t="s">
        <v>1600</v>
      </c>
      <c r="AN170" s="84" t="str">
        <f>HYPERLINK("https://t.co/hvRP30EDpS")</f>
        <v>https://t.co/hvRP30EDpS</v>
      </c>
      <c r="AO170" s="79"/>
      <c r="AP170" s="81">
        <v>40774.11101851852</v>
      </c>
      <c r="AQ170" s="84" t="str">
        <f>HYPERLINK("https://pbs.twimg.com/profile_banners/357908674/1632322038")</f>
        <v>https://pbs.twimg.com/profile_banners/357908674/1632322038</v>
      </c>
      <c r="AR170" s="79" t="b">
        <v>0</v>
      </c>
      <c r="AS170" s="79" t="b">
        <v>0</v>
      </c>
      <c r="AT170" s="79" t="b">
        <v>1</v>
      </c>
      <c r="AU170" s="79"/>
      <c r="AV170" s="79">
        <v>572</v>
      </c>
      <c r="AW170" s="84" t="str">
        <f>HYPERLINK("https://abs.twimg.com/images/themes/theme14/bg.gif")</f>
        <v>https://abs.twimg.com/images/themes/theme14/bg.gif</v>
      </c>
      <c r="AX170" s="79" t="b">
        <v>1</v>
      </c>
      <c r="AY170" s="79" t="s">
        <v>1601</v>
      </c>
      <c r="AZ170" s="84" t="str">
        <f>HYPERLINK("https://twitter.com/justegg")</f>
        <v>https://twitter.com/justegg</v>
      </c>
      <c r="BA170" s="79" t="s">
        <v>65</v>
      </c>
      <c r="BB170" s="79" t="str">
        <f>REPLACE(INDEX(GroupVertices[Group],MATCH(Vertices[[#This Row],[Vertex]],GroupVertices[Vertex],0)),1,1,"")</f>
        <v>6</v>
      </c>
      <c r="BC170" s="49"/>
      <c r="BD170" s="49"/>
      <c r="BE170" s="49"/>
      <c r="BF170" s="49"/>
      <c r="BG170" s="49"/>
      <c r="BH170" s="49"/>
      <c r="BI170" s="49"/>
      <c r="BJ170" s="49"/>
      <c r="BK170" s="49"/>
      <c r="BL170" s="49"/>
      <c r="BM170" s="49"/>
      <c r="BN170" s="50"/>
      <c r="BO170" s="49"/>
      <c r="BP170" s="50"/>
      <c r="BQ170" s="49"/>
      <c r="BR170" s="50"/>
      <c r="BS170" s="49"/>
      <c r="BT170" s="50"/>
      <c r="BU170" s="49"/>
      <c r="BV170" s="2"/>
      <c r="BW170" s="3"/>
      <c r="BX170" s="3"/>
      <c r="BY170" s="3"/>
      <c r="BZ170" s="3"/>
    </row>
    <row r="171" spans="1:78" ht="41.45" customHeight="1">
      <c r="A171" s="65" t="s">
        <v>359</v>
      </c>
      <c r="C171" s="66"/>
      <c r="D171" s="66" t="s">
        <v>64</v>
      </c>
      <c r="E171" s="67">
        <v>162.02371270694283</v>
      </c>
      <c r="F171" s="69"/>
      <c r="G171" s="103" t="str">
        <f>HYPERLINK("https://pbs.twimg.com/profile_images/1349953202402197506/8cqA-Ycg_normal.jpg")</f>
        <v>https://pbs.twimg.com/profile_images/1349953202402197506/8cqA-Ycg_normal.jpg</v>
      </c>
      <c r="H171" s="66"/>
      <c r="I171" s="70" t="s">
        <v>359</v>
      </c>
      <c r="J171" s="71"/>
      <c r="K171" s="71"/>
      <c r="L171" s="70" t="s">
        <v>1769</v>
      </c>
      <c r="M171" s="74">
        <v>1.0181413349072352</v>
      </c>
      <c r="N171" s="75">
        <v>8303.517578125</v>
      </c>
      <c r="O171" s="75">
        <v>8752.78515625</v>
      </c>
      <c r="P171" s="76"/>
      <c r="Q171" s="77"/>
      <c r="R171" s="77"/>
      <c r="S171" s="89"/>
      <c r="T171" s="49">
        <v>1</v>
      </c>
      <c r="U171" s="49">
        <v>2</v>
      </c>
      <c r="V171" s="50">
        <v>0</v>
      </c>
      <c r="W171" s="50">
        <v>0.071429</v>
      </c>
      <c r="X171" s="50">
        <v>0</v>
      </c>
      <c r="Y171" s="50">
        <v>0.841226</v>
      </c>
      <c r="Z171" s="50">
        <v>0</v>
      </c>
      <c r="AA171" s="50">
        <v>0</v>
      </c>
      <c r="AB171" s="72">
        <v>171</v>
      </c>
      <c r="AC171" s="72"/>
      <c r="AD171" s="73"/>
      <c r="AE171" s="79" t="s">
        <v>1176</v>
      </c>
      <c r="AF171" s="88" t="s">
        <v>965</v>
      </c>
      <c r="AG171" s="79">
        <v>160</v>
      </c>
      <c r="AH171" s="79">
        <v>47</v>
      </c>
      <c r="AI171" s="79">
        <v>166</v>
      </c>
      <c r="AJ171" s="79">
        <v>121</v>
      </c>
      <c r="AK171" s="79"/>
      <c r="AL171" s="79" t="s">
        <v>1496</v>
      </c>
      <c r="AM171" s="79"/>
      <c r="AN171" s="79"/>
      <c r="AO171" s="79"/>
      <c r="AP171" s="81">
        <v>44211.04927083333</v>
      </c>
      <c r="AQ171" s="84" t="str">
        <f>HYPERLINK("https://pbs.twimg.com/profile_banners/1349886710646099968/1610689058")</f>
        <v>https://pbs.twimg.com/profile_banners/1349886710646099968/1610689058</v>
      </c>
      <c r="AR171" s="79" t="b">
        <v>1</v>
      </c>
      <c r="AS171" s="79" t="b">
        <v>0</v>
      </c>
      <c r="AT171" s="79" t="b">
        <v>0</v>
      </c>
      <c r="AU171" s="79"/>
      <c r="AV171" s="79">
        <v>0</v>
      </c>
      <c r="AW171" s="79"/>
      <c r="AX171" s="79" t="b">
        <v>0</v>
      </c>
      <c r="AY171" s="79" t="s">
        <v>1601</v>
      </c>
      <c r="AZ171" s="84" t="str">
        <f>HYPERLINK("https://twitter.com/charlie_runners")</f>
        <v>https://twitter.com/charlie_runners</v>
      </c>
      <c r="BA171" s="79" t="s">
        <v>66</v>
      </c>
      <c r="BB171" s="79" t="str">
        <f>REPLACE(INDEX(GroupVertices[Group],MATCH(Vertices[[#This Row],[Vertex]],GroupVertices[Vertex],0)),1,1,"")</f>
        <v>5</v>
      </c>
      <c r="BC171" s="49" t="s">
        <v>1865</v>
      </c>
      <c r="BD171" s="49" t="s">
        <v>1865</v>
      </c>
      <c r="BE171" s="49" t="s">
        <v>547</v>
      </c>
      <c r="BF171" s="49" t="s">
        <v>547</v>
      </c>
      <c r="BG171" s="49"/>
      <c r="BH171" s="49"/>
      <c r="BI171" s="108" t="s">
        <v>2338</v>
      </c>
      <c r="BJ171" s="108" t="s">
        <v>2352</v>
      </c>
      <c r="BK171" s="108" t="s">
        <v>2405</v>
      </c>
      <c r="BL171" s="108" t="s">
        <v>2416</v>
      </c>
      <c r="BM171" s="108">
        <v>3</v>
      </c>
      <c r="BN171" s="111">
        <v>3.4482758620689653</v>
      </c>
      <c r="BO171" s="108">
        <v>0</v>
      </c>
      <c r="BP171" s="111">
        <v>0</v>
      </c>
      <c r="BQ171" s="108">
        <v>0</v>
      </c>
      <c r="BR171" s="111">
        <v>0</v>
      </c>
      <c r="BS171" s="108">
        <v>84</v>
      </c>
      <c r="BT171" s="111">
        <v>96.55172413793103</v>
      </c>
      <c r="BU171" s="108">
        <v>87</v>
      </c>
      <c r="BV171" s="2"/>
      <c r="BW171" s="3"/>
      <c r="BX171" s="3"/>
      <c r="BY171" s="3"/>
      <c r="BZ171" s="3"/>
    </row>
    <row r="172" spans="1:78" ht="41.45" customHeight="1">
      <c r="A172" s="65" t="s">
        <v>360</v>
      </c>
      <c r="C172" s="66"/>
      <c r="D172" s="66" t="s">
        <v>64</v>
      </c>
      <c r="E172" s="67">
        <v>163.87986268231862</v>
      </c>
      <c r="F172" s="69"/>
      <c r="G172" s="103" t="str">
        <f>HYPERLINK("https://pbs.twimg.com/profile_images/1196826670185033733/ofstaVMj_normal.jpg")</f>
        <v>https://pbs.twimg.com/profile_images/1196826670185033733/ofstaVMj_normal.jpg</v>
      </c>
      <c r="H172" s="66"/>
      <c r="I172" s="70" t="s">
        <v>360</v>
      </c>
      <c r="J172" s="71"/>
      <c r="K172" s="71"/>
      <c r="L172" s="70" t="s">
        <v>1770</v>
      </c>
      <c r="M172" s="74">
        <v>2.438183273709754</v>
      </c>
      <c r="N172" s="75">
        <v>8571.6064453125</v>
      </c>
      <c r="O172" s="75">
        <v>2185.645263671875</v>
      </c>
      <c r="P172" s="76"/>
      <c r="Q172" s="77"/>
      <c r="R172" s="77"/>
      <c r="S172" s="89"/>
      <c r="T172" s="49">
        <v>0</v>
      </c>
      <c r="U172" s="49">
        <v>1</v>
      </c>
      <c r="V172" s="50">
        <v>0</v>
      </c>
      <c r="W172" s="50">
        <v>1</v>
      </c>
      <c r="X172" s="50">
        <v>0</v>
      </c>
      <c r="Y172" s="50">
        <v>0.999997</v>
      </c>
      <c r="Z172" s="50">
        <v>0</v>
      </c>
      <c r="AA172" s="50">
        <v>0</v>
      </c>
      <c r="AB172" s="72">
        <v>172</v>
      </c>
      <c r="AC172" s="72"/>
      <c r="AD172" s="73"/>
      <c r="AE172" s="79" t="s">
        <v>1177</v>
      </c>
      <c r="AF172" s="88" t="s">
        <v>1336</v>
      </c>
      <c r="AG172" s="79">
        <v>4695</v>
      </c>
      <c r="AH172" s="79">
        <v>3726</v>
      </c>
      <c r="AI172" s="79">
        <v>71299</v>
      </c>
      <c r="AJ172" s="79">
        <v>93359</v>
      </c>
      <c r="AK172" s="79"/>
      <c r="AL172" s="79" t="s">
        <v>1497</v>
      </c>
      <c r="AM172" s="79"/>
      <c r="AN172" s="84" t="str">
        <f>HYPERLINK("https://t.co/EaEh1AmUPB")</f>
        <v>https://t.co/EaEh1AmUPB</v>
      </c>
      <c r="AO172" s="79"/>
      <c r="AP172" s="81">
        <v>40889.40305555556</v>
      </c>
      <c r="AQ172" s="84" t="str">
        <f>HYPERLINK("https://pbs.twimg.com/profile_banners/434790644/1630364470")</f>
        <v>https://pbs.twimg.com/profile_banners/434790644/1630364470</v>
      </c>
      <c r="AR172" s="79" t="b">
        <v>1</v>
      </c>
      <c r="AS172" s="79" t="b">
        <v>0</v>
      </c>
      <c r="AT172" s="79" t="b">
        <v>1</v>
      </c>
      <c r="AU172" s="79"/>
      <c r="AV172" s="79">
        <v>24</v>
      </c>
      <c r="AW172" s="84" t="str">
        <f>HYPERLINK("https://abs.twimg.com/images/themes/theme1/bg.png")</f>
        <v>https://abs.twimg.com/images/themes/theme1/bg.png</v>
      </c>
      <c r="AX172" s="79" t="b">
        <v>0</v>
      </c>
      <c r="AY172" s="79" t="s">
        <v>1601</v>
      </c>
      <c r="AZ172" s="84" t="str">
        <f>HYPERLINK("https://twitter.com/pietersemarc")</f>
        <v>https://twitter.com/pietersemarc</v>
      </c>
      <c r="BA172" s="79" t="s">
        <v>66</v>
      </c>
      <c r="BB172" s="79" t="str">
        <f>REPLACE(INDEX(GroupVertices[Group],MATCH(Vertices[[#This Row],[Vertex]],GroupVertices[Vertex],0)),1,1,"")</f>
        <v>17</v>
      </c>
      <c r="BC172" s="49"/>
      <c r="BD172" s="49"/>
      <c r="BE172" s="49"/>
      <c r="BF172" s="49"/>
      <c r="BG172" s="49"/>
      <c r="BH172" s="49"/>
      <c r="BI172" s="108" t="s">
        <v>2339</v>
      </c>
      <c r="BJ172" s="108" t="s">
        <v>2339</v>
      </c>
      <c r="BK172" s="108" t="s">
        <v>2406</v>
      </c>
      <c r="BL172" s="108" t="s">
        <v>2406</v>
      </c>
      <c r="BM172" s="108">
        <v>2</v>
      </c>
      <c r="BN172" s="111">
        <v>4.081632653061225</v>
      </c>
      <c r="BO172" s="108">
        <v>0</v>
      </c>
      <c r="BP172" s="111">
        <v>0</v>
      </c>
      <c r="BQ172" s="108">
        <v>0</v>
      </c>
      <c r="BR172" s="111">
        <v>0</v>
      </c>
      <c r="BS172" s="108">
        <v>47</v>
      </c>
      <c r="BT172" s="111">
        <v>95.91836734693878</v>
      </c>
      <c r="BU172" s="108">
        <v>49</v>
      </c>
      <c r="BV172" s="2"/>
      <c r="BW172" s="3"/>
      <c r="BX172" s="3"/>
      <c r="BY172" s="3"/>
      <c r="BZ172" s="3"/>
    </row>
    <row r="173" spans="1:78" ht="41.45" customHeight="1">
      <c r="A173" s="65" t="s">
        <v>405</v>
      </c>
      <c r="C173" s="66"/>
      <c r="D173" s="66" t="s">
        <v>64</v>
      </c>
      <c r="E173" s="67">
        <v>163.1407325616539</v>
      </c>
      <c r="F173" s="69"/>
      <c r="G173" s="103" t="str">
        <f>HYPERLINK("https://pbs.twimg.com/profile_images/1370565930288259072/m4JvN60o_normal.jpg")</f>
        <v>https://pbs.twimg.com/profile_images/1370565930288259072/m4JvN60o_normal.jpg</v>
      </c>
      <c r="H173" s="66"/>
      <c r="I173" s="70" t="s">
        <v>405</v>
      </c>
      <c r="J173" s="71"/>
      <c r="K173" s="71"/>
      <c r="L173" s="70" t="s">
        <v>1771</v>
      </c>
      <c r="M173" s="74">
        <v>1.8727140047927413</v>
      </c>
      <c r="N173" s="75">
        <v>8571.6064453125</v>
      </c>
      <c r="O173" s="75">
        <v>2421.223876953125</v>
      </c>
      <c r="P173" s="76"/>
      <c r="Q173" s="77"/>
      <c r="R173" s="77"/>
      <c r="S173" s="89"/>
      <c r="T173" s="49">
        <v>1</v>
      </c>
      <c r="U173" s="49">
        <v>0</v>
      </c>
      <c r="V173" s="50">
        <v>0</v>
      </c>
      <c r="W173" s="50">
        <v>1</v>
      </c>
      <c r="X173" s="50">
        <v>0</v>
      </c>
      <c r="Y173" s="50">
        <v>0.999997</v>
      </c>
      <c r="Z173" s="50">
        <v>0</v>
      </c>
      <c r="AA173" s="50">
        <v>0</v>
      </c>
      <c r="AB173" s="72">
        <v>173</v>
      </c>
      <c r="AC173" s="72"/>
      <c r="AD173" s="73"/>
      <c r="AE173" s="79" t="s">
        <v>1178</v>
      </c>
      <c r="AF173" s="88" t="s">
        <v>966</v>
      </c>
      <c r="AG173" s="79">
        <v>2372</v>
      </c>
      <c r="AH173" s="79">
        <v>2261</v>
      </c>
      <c r="AI173" s="79">
        <v>26708</v>
      </c>
      <c r="AJ173" s="79">
        <v>12800</v>
      </c>
      <c r="AK173" s="79"/>
      <c r="AL173" s="79" t="s">
        <v>1498</v>
      </c>
      <c r="AM173" s="79"/>
      <c r="AN173" s="84" t="str">
        <f>HYPERLINK("https://t.co/mGR96gNzka")</f>
        <v>https://t.co/mGR96gNzka</v>
      </c>
      <c r="AO173" s="79"/>
      <c r="AP173" s="81">
        <v>40912.25962962963</v>
      </c>
      <c r="AQ173" s="84" t="str">
        <f>HYPERLINK("https://pbs.twimg.com/profile_banners/454629750/1601509822")</f>
        <v>https://pbs.twimg.com/profile_banners/454629750/1601509822</v>
      </c>
      <c r="AR173" s="79" t="b">
        <v>0</v>
      </c>
      <c r="AS173" s="79" t="b">
        <v>0</v>
      </c>
      <c r="AT173" s="79" t="b">
        <v>0</v>
      </c>
      <c r="AU173" s="79"/>
      <c r="AV173" s="79">
        <v>28</v>
      </c>
      <c r="AW173" s="84" t="str">
        <f>HYPERLINK("https://abs.twimg.com/images/themes/theme4/bg.gif")</f>
        <v>https://abs.twimg.com/images/themes/theme4/bg.gif</v>
      </c>
      <c r="AX173" s="79" t="b">
        <v>0</v>
      </c>
      <c r="AY173" s="79" t="s">
        <v>1601</v>
      </c>
      <c r="AZ173" s="84" t="str">
        <f>HYPERLINK("https://twitter.com/efwhitton")</f>
        <v>https://twitter.com/efwhitton</v>
      </c>
      <c r="BA173" s="79" t="s">
        <v>65</v>
      </c>
      <c r="BB173" s="79" t="str">
        <f>REPLACE(INDEX(GroupVertices[Group],MATCH(Vertices[[#This Row],[Vertex]],GroupVertices[Vertex],0)),1,1,"")</f>
        <v>17</v>
      </c>
      <c r="BC173" s="49"/>
      <c r="BD173" s="49"/>
      <c r="BE173" s="49"/>
      <c r="BF173" s="49"/>
      <c r="BG173" s="49"/>
      <c r="BH173" s="49"/>
      <c r="BI173" s="49"/>
      <c r="BJ173" s="49"/>
      <c r="BK173" s="49"/>
      <c r="BL173" s="49"/>
      <c r="BM173" s="49"/>
      <c r="BN173" s="50"/>
      <c r="BO173" s="49"/>
      <c r="BP173" s="50"/>
      <c r="BQ173" s="49"/>
      <c r="BR173" s="50"/>
      <c r="BS173" s="49"/>
      <c r="BT173" s="50"/>
      <c r="BU173" s="49"/>
      <c r="BV173" s="2"/>
      <c r="BW173" s="3"/>
      <c r="BX173" s="3"/>
      <c r="BY173" s="3"/>
      <c r="BZ173" s="3"/>
    </row>
    <row r="174" spans="1:78" ht="41.45" customHeight="1">
      <c r="A174" s="90" t="s">
        <v>363</v>
      </c>
      <c r="C174" s="91"/>
      <c r="D174" s="91" t="s">
        <v>64</v>
      </c>
      <c r="E174" s="92">
        <v>162.44953238055444</v>
      </c>
      <c r="F174" s="93"/>
      <c r="G174" s="104" t="str">
        <f>HYPERLINK("https://pbs.twimg.com/profile_images/1446755109124382720/ixL_-iTZ_normal.jpg")</f>
        <v>https://pbs.twimg.com/profile_images/1446755109124382720/ixL_-iTZ_normal.jpg</v>
      </c>
      <c r="H174" s="91"/>
      <c r="I174" s="94" t="s">
        <v>363</v>
      </c>
      <c r="J174" s="95"/>
      <c r="K174" s="95"/>
      <c r="L174" s="94" t="s">
        <v>1772</v>
      </c>
      <c r="M174" s="96">
        <v>1.3439133915392891</v>
      </c>
      <c r="N174" s="97">
        <v>4956.02587890625</v>
      </c>
      <c r="O174" s="97">
        <v>2562.762451171875</v>
      </c>
      <c r="P174" s="98"/>
      <c r="Q174" s="99"/>
      <c r="R174" s="99"/>
      <c r="S174" s="100"/>
      <c r="T174" s="49">
        <v>0</v>
      </c>
      <c r="U174" s="49">
        <v>3</v>
      </c>
      <c r="V174" s="50">
        <v>0</v>
      </c>
      <c r="W174" s="50">
        <v>0.045455</v>
      </c>
      <c r="X174" s="50">
        <v>0</v>
      </c>
      <c r="Y174" s="50">
        <v>0.70157</v>
      </c>
      <c r="Z174" s="50">
        <v>0.6666666666666666</v>
      </c>
      <c r="AA174" s="50">
        <v>0</v>
      </c>
      <c r="AB174" s="101">
        <v>174</v>
      </c>
      <c r="AC174" s="101"/>
      <c r="AD174" s="102"/>
      <c r="AE174" s="79" t="s">
        <v>1179</v>
      </c>
      <c r="AF174" s="88" t="s">
        <v>1337</v>
      </c>
      <c r="AG174" s="79">
        <v>644</v>
      </c>
      <c r="AH174" s="79">
        <v>891</v>
      </c>
      <c r="AI174" s="79">
        <v>9745</v>
      </c>
      <c r="AJ174" s="79">
        <v>13882</v>
      </c>
      <c r="AK174" s="79"/>
      <c r="AL174" s="79" t="s">
        <v>1499</v>
      </c>
      <c r="AM174" s="79"/>
      <c r="AN174" s="79"/>
      <c r="AO174" s="79"/>
      <c r="AP174" s="81">
        <v>43210.893738425926</v>
      </c>
      <c r="AQ174" s="84" t="str">
        <f>HYPERLINK("https://pbs.twimg.com/profile_banners/987442529116262401/1621113946")</f>
        <v>https://pbs.twimg.com/profile_banners/987442529116262401/1621113946</v>
      </c>
      <c r="AR174" s="79" t="b">
        <v>1</v>
      </c>
      <c r="AS174" s="79" t="b">
        <v>0</v>
      </c>
      <c r="AT174" s="79" t="b">
        <v>0</v>
      </c>
      <c r="AU174" s="79"/>
      <c r="AV174" s="79">
        <v>0</v>
      </c>
      <c r="AW174" s="79"/>
      <c r="AX174" s="79" t="b">
        <v>0</v>
      </c>
      <c r="AY174" s="79" t="s">
        <v>1601</v>
      </c>
      <c r="AZ174" s="84" t="str">
        <f>HYPERLINK("https://twitter.com/sophiajennifer5")</f>
        <v>https://twitter.com/sophiajennifer5</v>
      </c>
      <c r="BA174" s="79" t="s">
        <v>66</v>
      </c>
      <c r="BB174" s="79" t="str">
        <f>REPLACE(INDEX(GroupVertices[Group],MATCH(Vertices[[#This Row],[Vertex]],GroupVertices[Vertex],0)),1,1,"")</f>
        <v>4</v>
      </c>
      <c r="BC174" s="49" t="s">
        <v>1822</v>
      </c>
      <c r="BD174" s="49" t="s">
        <v>1822</v>
      </c>
      <c r="BE174" s="49" t="s">
        <v>532</v>
      </c>
      <c r="BF174" s="49" t="s">
        <v>532</v>
      </c>
      <c r="BG174" s="49" t="s">
        <v>558</v>
      </c>
      <c r="BH174" s="49" t="s">
        <v>558</v>
      </c>
      <c r="BI174" s="108" t="s">
        <v>2315</v>
      </c>
      <c r="BJ174" s="108" t="s">
        <v>2315</v>
      </c>
      <c r="BK174" s="108" t="s">
        <v>2154</v>
      </c>
      <c r="BL174" s="108" t="s">
        <v>2154</v>
      </c>
      <c r="BM174" s="108">
        <v>1</v>
      </c>
      <c r="BN174" s="111">
        <v>5.555555555555555</v>
      </c>
      <c r="BO174" s="108">
        <v>0</v>
      </c>
      <c r="BP174" s="111">
        <v>0</v>
      </c>
      <c r="BQ174" s="108">
        <v>0</v>
      </c>
      <c r="BR174" s="111">
        <v>0</v>
      </c>
      <c r="BS174" s="108">
        <v>17</v>
      </c>
      <c r="BT174" s="111">
        <v>94.44444444444444</v>
      </c>
      <c r="BU174" s="108">
        <v>18</v>
      </c>
      <c r="BV174" s="2"/>
      <c r="BW174" s="3"/>
      <c r="BX174" s="3"/>
      <c r="BY174" s="3"/>
      <c r="BZ1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4"/>
    <dataValidation allowBlank="1" showInputMessage="1" promptTitle="Vertex Tooltip" prompt="Enter optional text that will pop up when the mouse is hovered over the vertex." errorTitle="Invalid Vertex Image Key" sqref="L3:L1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4"/>
    <dataValidation allowBlank="1" showInputMessage="1" promptTitle="Vertex Label Fill Color" prompt="To select an optional fill color for the Label shape, right-click and select Select Color on the right-click menu." sqref="J3:J174"/>
    <dataValidation allowBlank="1" showInputMessage="1" promptTitle="Vertex Image File" prompt="Enter the path to an image file.  Hover over the column header for examples." errorTitle="Invalid Vertex Image Key" sqref="G3:G174"/>
    <dataValidation allowBlank="1" showInputMessage="1" promptTitle="Vertex Color" prompt="To select an optional vertex color, right-click and select Select Color on the right-click menu." sqref="C3:C174"/>
    <dataValidation allowBlank="1" showInputMessage="1" promptTitle="Vertex Opacity" prompt="Enter an optional vertex opacity between 0 (transparent) and 100 (opaque)." errorTitle="Invalid Vertex Opacity" error="The optional vertex opacity must be a whole number between 0 and 10." sqref="F3:F174"/>
    <dataValidation type="list" allowBlank="1" showInputMessage="1" showErrorMessage="1" promptTitle="Vertex Shape" prompt="Select an optional vertex shape." errorTitle="Invalid Vertex Shape" error="You have entered an invalid vertex shape.  Try selecting from the drop-down list instead." sqref="D3:D1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4">
      <formula1>ValidVertexLabelPositions</formula1>
    </dataValidation>
    <dataValidation allowBlank="1" showInputMessage="1" showErrorMessage="1" promptTitle="Vertex Name" prompt="Enter the name of the vertex." sqref="A3:A17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9.7109375" style="0" bestFit="1" customWidth="1"/>
    <col min="38" max="38" width="24.28125" style="0" bestFit="1" customWidth="1"/>
    <col min="39" max="39" width="18.57421875" style="0" bestFit="1" customWidth="1"/>
    <col min="40" max="40" width="22.28125" style="0" bestFit="1" customWidth="1"/>
    <col min="41" max="41" width="16.8515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1881</v>
      </c>
      <c r="Z2" s="13" t="s">
        <v>1911</v>
      </c>
      <c r="AA2" s="13" t="s">
        <v>1957</v>
      </c>
      <c r="AB2" s="13" t="s">
        <v>2033</v>
      </c>
      <c r="AC2" s="13" t="s">
        <v>2150</v>
      </c>
      <c r="AD2" s="13" t="s">
        <v>2192</v>
      </c>
      <c r="AE2" s="13" t="s">
        <v>2193</v>
      </c>
      <c r="AF2" s="13" t="s">
        <v>2213</v>
      </c>
      <c r="AG2" s="54" t="s">
        <v>2727</v>
      </c>
      <c r="AH2" s="54" t="s">
        <v>2728</v>
      </c>
      <c r="AI2" s="54" t="s">
        <v>2729</v>
      </c>
      <c r="AJ2" s="54" t="s">
        <v>2730</v>
      </c>
      <c r="AK2" s="54" t="s">
        <v>2731</v>
      </c>
      <c r="AL2" s="54" t="s">
        <v>2732</v>
      </c>
      <c r="AM2" s="54" t="s">
        <v>2733</v>
      </c>
      <c r="AN2" s="54" t="s">
        <v>2734</v>
      </c>
      <c r="AO2" s="54" t="s">
        <v>2737</v>
      </c>
    </row>
    <row r="3" spans="1:41" ht="15">
      <c r="A3" s="65" t="s">
        <v>1777</v>
      </c>
      <c r="B3" s="66" t="s">
        <v>1805</v>
      </c>
      <c r="C3" s="66" t="s">
        <v>56</v>
      </c>
      <c r="D3" s="14"/>
      <c r="E3" s="14"/>
      <c r="F3" s="15" t="s">
        <v>2821</v>
      </c>
      <c r="G3" s="64"/>
      <c r="H3" s="64"/>
      <c r="I3" s="78">
        <v>3</v>
      </c>
      <c r="J3" s="51"/>
      <c r="K3" s="49">
        <v>35</v>
      </c>
      <c r="L3" s="49">
        <v>93</v>
      </c>
      <c r="M3" s="49">
        <v>149</v>
      </c>
      <c r="N3" s="49">
        <v>242</v>
      </c>
      <c r="O3" s="49">
        <v>0</v>
      </c>
      <c r="P3" s="50">
        <v>0.007874015748031496</v>
      </c>
      <c r="Q3" s="50">
        <v>0.015625</v>
      </c>
      <c r="R3" s="49">
        <v>1</v>
      </c>
      <c r="S3" s="49">
        <v>0</v>
      </c>
      <c r="T3" s="49">
        <v>35</v>
      </c>
      <c r="U3" s="49">
        <v>242</v>
      </c>
      <c r="V3" s="49">
        <v>3</v>
      </c>
      <c r="W3" s="50">
        <v>1.781224</v>
      </c>
      <c r="X3" s="50">
        <v>0.10756302521008404</v>
      </c>
      <c r="Y3" s="79" t="s">
        <v>1882</v>
      </c>
      <c r="Z3" s="79" t="s">
        <v>1912</v>
      </c>
      <c r="AA3" s="79"/>
      <c r="AB3" s="88" t="s">
        <v>2034</v>
      </c>
      <c r="AC3" s="88" t="s">
        <v>2151</v>
      </c>
      <c r="AD3" s="88"/>
      <c r="AE3" s="88" t="s">
        <v>2194</v>
      </c>
      <c r="AF3" s="88" t="s">
        <v>2214</v>
      </c>
      <c r="AG3" s="108">
        <v>0</v>
      </c>
      <c r="AH3" s="111">
        <v>0</v>
      </c>
      <c r="AI3" s="108">
        <v>0</v>
      </c>
      <c r="AJ3" s="111">
        <v>0</v>
      </c>
      <c r="AK3" s="108">
        <v>0</v>
      </c>
      <c r="AL3" s="111">
        <v>0</v>
      </c>
      <c r="AM3" s="108">
        <v>2194</v>
      </c>
      <c r="AN3" s="111">
        <v>100</v>
      </c>
      <c r="AO3" s="108">
        <v>2194</v>
      </c>
    </row>
    <row r="4" spans="1:41" ht="15">
      <c r="A4" s="65" t="s">
        <v>1778</v>
      </c>
      <c r="B4" s="66" t="s">
        <v>1806</v>
      </c>
      <c r="C4" s="66" t="s">
        <v>56</v>
      </c>
      <c r="D4" s="14"/>
      <c r="E4" s="14"/>
      <c r="F4" s="15" t="s">
        <v>2822</v>
      </c>
      <c r="G4" s="64"/>
      <c r="H4" s="64"/>
      <c r="I4" s="78">
        <v>4</v>
      </c>
      <c r="J4" s="78"/>
      <c r="K4" s="49">
        <v>23</v>
      </c>
      <c r="L4" s="49">
        <v>22</v>
      </c>
      <c r="M4" s="49">
        <v>2</v>
      </c>
      <c r="N4" s="49">
        <v>24</v>
      </c>
      <c r="O4" s="49">
        <v>24</v>
      </c>
      <c r="P4" s="50" t="s">
        <v>1820</v>
      </c>
      <c r="Q4" s="50" t="s">
        <v>1820</v>
      </c>
      <c r="R4" s="49">
        <v>23</v>
      </c>
      <c r="S4" s="49">
        <v>23</v>
      </c>
      <c r="T4" s="49">
        <v>1</v>
      </c>
      <c r="U4" s="49">
        <v>2</v>
      </c>
      <c r="V4" s="49">
        <v>0</v>
      </c>
      <c r="W4" s="50">
        <v>0</v>
      </c>
      <c r="X4" s="50">
        <v>0</v>
      </c>
      <c r="Y4" s="79" t="s">
        <v>1883</v>
      </c>
      <c r="Z4" s="79" t="s">
        <v>1913</v>
      </c>
      <c r="AA4" s="79" t="s">
        <v>1958</v>
      </c>
      <c r="AB4" s="88" t="s">
        <v>2035</v>
      </c>
      <c r="AC4" s="88" t="s">
        <v>2152</v>
      </c>
      <c r="AD4" s="88"/>
      <c r="AE4" s="88"/>
      <c r="AF4" s="88" t="s">
        <v>2215</v>
      </c>
      <c r="AG4" s="108">
        <v>9</v>
      </c>
      <c r="AH4" s="111">
        <v>1.6453382084095065</v>
      </c>
      <c r="AI4" s="108">
        <v>10</v>
      </c>
      <c r="AJ4" s="111">
        <v>1.8281535648994516</v>
      </c>
      <c r="AK4" s="108">
        <v>0</v>
      </c>
      <c r="AL4" s="111">
        <v>0</v>
      </c>
      <c r="AM4" s="108">
        <v>528</v>
      </c>
      <c r="AN4" s="111">
        <v>96.52650822669104</v>
      </c>
      <c r="AO4" s="108">
        <v>547</v>
      </c>
    </row>
    <row r="5" spans="1:41" ht="15">
      <c r="A5" s="65" t="s">
        <v>1779</v>
      </c>
      <c r="B5" s="66" t="s">
        <v>1807</v>
      </c>
      <c r="C5" s="66" t="s">
        <v>56</v>
      </c>
      <c r="D5" s="14"/>
      <c r="E5" s="14"/>
      <c r="F5" s="15" t="s">
        <v>2823</v>
      </c>
      <c r="G5" s="64"/>
      <c r="H5" s="64"/>
      <c r="I5" s="78">
        <v>5</v>
      </c>
      <c r="J5" s="78"/>
      <c r="K5" s="49">
        <v>18</v>
      </c>
      <c r="L5" s="49">
        <v>32</v>
      </c>
      <c r="M5" s="49">
        <v>0</v>
      </c>
      <c r="N5" s="49">
        <v>32</v>
      </c>
      <c r="O5" s="49">
        <v>5</v>
      </c>
      <c r="P5" s="50">
        <v>0</v>
      </c>
      <c r="Q5" s="50">
        <v>0</v>
      </c>
      <c r="R5" s="49">
        <v>1</v>
      </c>
      <c r="S5" s="49">
        <v>0</v>
      </c>
      <c r="T5" s="49">
        <v>18</v>
      </c>
      <c r="U5" s="49">
        <v>32</v>
      </c>
      <c r="V5" s="49">
        <v>4</v>
      </c>
      <c r="W5" s="50">
        <v>2.141975</v>
      </c>
      <c r="X5" s="50">
        <v>0.08823529411764706</v>
      </c>
      <c r="Y5" s="79" t="s">
        <v>1884</v>
      </c>
      <c r="Z5" s="79" t="s">
        <v>1914</v>
      </c>
      <c r="AA5" s="79" t="s">
        <v>1959</v>
      </c>
      <c r="AB5" s="88" t="s">
        <v>2036</v>
      </c>
      <c r="AC5" s="88" t="s">
        <v>2153</v>
      </c>
      <c r="AD5" s="88" t="s">
        <v>395</v>
      </c>
      <c r="AE5" s="88" t="s">
        <v>2195</v>
      </c>
      <c r="AF5" s="88" t="s">
        <v>2216</v>
      </c>
      <c r="AG5" s="108">
        <v>23</v>
      </c>
      <c r="AH5" s="111">
        <v>3.9930555555555554</v>
      </c>
      <c r="AI5" s="108">
        <v>1</v>
      </c>
      <c r="AJ5" s="111">
        <v>0.1736111111111111</v>
      </c>
      <c r="AK5" s="108">
        <v>0</v>
      </c>
      <c r="AL5" s="111">
        <v>0</v>
      </c>
      <c r="AM5" s="108">
        <v>552</v>
      </c>
      <c r="AN5" s="111">
        <v>95.83333333333333</v>
      </c>
      <c r="AO5" s="108">
        <v>576</v>
      </c>
    </row>
    <row r="6" spans="1:41" ht="15">
      <c r="A6" s="65" t="s">
        <v>1780</v>
      </c>
      <c r="B6" s="66" t="s">
        <v>1808</v>
      </c>
      <c r="C6" s="66" t="s">
        <v>56</v>
      </c>
      <c r="D6" s="14"/>
      <c r="E6" s="14"/>
      <c r="F6" s="15" t="s">
        <v>2824</v>
      </c>
      <c r="G6" s="64"/>
      <c r="H6" s="64"/>
      <c r="I6" s="78">
        <v>6</v>
      </c>
      <c r="J6" s="78"/>
      <c r="K6" s="49">
        <v>13</v>
      </c>
      <c r="L6" s="49">
        <v>27</v>
      </c>
      <c r="M6" s="49">
        <v>4</v>
      </c>
      <c r="N6" s="49">
        <v>31</v>
      </c>
      <c r="O6" s="49">
        <v>0</v>
      </c>
      <c r="P6" s="50">
        <v>0.03571428571428571</v>
      </c>
      <c r="Q6" s="50">
        <v>0.06896551724137931</v>
      </c>
      <c r="R6" s="49">
        <v>1</v>
      </c>
      <c r="S6" s="49">
        <v>0</v>
      </c>
      <c r="T6" s="49">
        <v>13</v>
      </c>
      <c r="U6" s="49">
        <v>31</v>
      </c>
      <c r="V6" s="49">
        <v>3</v>
      </c>
      <c r="W6" s="50">
        <v>1.609467</v>
      </c>
      <c r="X6" s="50">
        <v>0.1858974358974359</v>
      </c>
      <c r="Y6" s="79" t="s">
        <v>1822</v>
      </c>
      <c r="Z6" s="79" t="s">
        <v>532</v>
      </c>
      <c r="AA6" s="79" t="s">
        <v>1960</v>
      </c>
      <c r="AB6" s="88" t="s">
        <v>2037</v>
      </c>
      <c r="AC6" s="88" t="s">
        <v>2154</v>
      </c>
      <c r="AD6" s="88"/>
      <c r="AE6" s="88" t="s">
        <v>2196</v>
      </c>
      <c r="AF6" s="88" t="s">
        <v>2217</v>
      </c>
      <c r="AG6" s="108">
        <v>7</v>
      </c>
      <c r="AH6" s="111">
        <v>3.2710280373831777</v>
      </c>
      <c r="AI6" s="108">
        <v>0</v>
      </c>
      <c r="AJ6" s="111">
        <v>0</v>
      </c>
      <c r="AK6" s="108">
        <v>0</v>
      </c>
      <c r="AL6" s="111">
        <v>0</v>
      </c>
      <c r="AM6" s="108">
        <v>207</v>
      </c>
      <c r="AN6" s="111">
        <v>96.72897196261682</v>
      </c>
      <c r="AO6" s="108">
        <v>214</v>
      </c>
    </row>
    <row r="7" spans="1:41" ht="15">
      <c r="A7" s="65" t="s">
        <v>1781</v>
      </c>
      <c r="B7" s="66" t="s">
        <v>1809</v>
      </c>
      <c r="C7" s="66" t="s">
        <v>56</v>
      </c>
      <c r="D7" s="14"/>
      <c r="E7" s="14"/>
      <c r="F7" s="15" t="s">
        <v>2825</v>
      </c>
      <c r="G7" s="64"/>
      <c r="H7" s="64"/>
      <c r="I7" s="78">
        <v>7</v>
      </c>
      <c r="J7" s="78"/>
      <c r="K7" s="49">
        <v>8</v>
      </c>
      <c r="L7" s="49">
        <v>9</v>
      </c>
      <c r="M7" s="49">
        <v>2</v>
      </c>
      <c r="N7" s="49">
        <v>11</v>
      </c>
      <c r="O7" s="49">
        <v>1</v>
      </c>
      <c r="P7" s="50">
        <v>0</v>
      </c>
      <c r="Q7" s="50">
        <v>0</v>
      </c>
      <c r="R7" s="49">
        <v>1</v>
      </c>
      <c r="S7" s="49">
        <v>0</v>
      </c>
      <c r="T7" s="49">
        <v>8</v>
      </c>
      <c r="U7" s="49">
        <v>11</v>
      </c>
      <c r="V7" s="49">
        <v>3</v>
      </c>
      <c r="W7" s="50">
        <v>1.59375</v>
      </c>
      <c r="X7" s="50">
        <v>0.16071428571428573</v>
      </c>
      <c r="Y7" s="79" t="s">
        <v>1885</v>
      </c>
      <c r="Z7" s="79" t="s">
        <v>1915</v>
      </c>
      <c r="AA7" s="79"/>
      <c r="AB7" s="88" t="s">
        <v>2038</v>
      </c>
      <c r="AC7" s="88" t="s">
        <v>2155</v>
      </c>
      <c r="AD7" s="88"/>
      <c r="AE7" s="88" t="s">
        <v>2197</v>
      </c>
      <c r="AF7" s="88" t="s">
        <v>2218</v>
      </c>
      <c r="AG7" s="108">
        <v>7</v>
      </c>
      <c r="AH7" s="111">
        <v>2.456140350877193</v>
      </c>
      <c r="AI7" s="108">
        <v>5</v>
      </c>
      <c r="AJ7" s="111">
        <v>1.7543859649122806</v>
      </c>
      <c r="AK7" s="108">
        <v>0</v>
      </c>
      <c r="AL7" s="111">
        <v>0</v>
      </c>
      <c r="AM7" s="108">
        <v>273</v>
      </c>
      <c r="AN7" s="111">
        <v>95.78947368421052</v>
      </c>
      <c r="AO7" s="108">
        <v>285</v>
      </c>
    </row>
    <row r="8" spans="1:41" ht="15">
      <c r="A8" s="65" t="s">
        <v>1782</v>
      </c>
      <c r="B8" s="66" t="s">
        <v>1810</v>
      </c>
      <c r="C8" s="66" t="s">
        <v>56</v>
      </c>
      <c r="D8" s="14"/>
      <c r="E8" s="14"/>
      <c r="F8" s="15" t="s">
        <v>2826</v>
      </c>
      <c r="G8" s="64"/>
      <c r="H8" s="64"/>
      <c r="I8" s="78">
        <v>8</v>
      </c>
      <c r="J8" s="78"/>
      <c r="K8" s="49">
        <v>8</v>
      </c>
      <c r="L8" s="49">
        <v>11</v>
      </c>
      <c r="M8" s="49">
        <v>0</v>
      </c>
      <c r="N8" s="49">
        <v>11</v>
      </c>
      <c r="O8" s="49">
        <v>0</v>
      </c>
      <c r="P8" s="50">
        <v>0.1</v>
      </c>
      <c r="Q8" s="50">
        <v>0.18181818181818182</v>
      </c>
      <c r="R8" s="49">
        <v>1</v>
      </c>
      <c r="S8" s="49">
        <v>0</v>
      </c>
      <c r="T8" s="49">
        <v>8</v>
      </c>
      <c r="U8" s="49">
        <v>11</v>
      </c>
      <c r="V8" s="49">
        <v>4</v>
      </c>
      <c r="W8" s="50">
        <v>1.875</v>
      </c>
      <c r="X8" s="50">
        <v>0.19642857142857142</v>
      </c>
      <c r="Y8" s="79" t="s">
        <v>1886</v>
      </c>
      <c r="Z8" s="79" t="s">
        <v>1916</v>
      </c>
      <c r="AA8" s="79" t="s">
        <v>566</v>
      </c>
      <c r="AB8" s="88" t="s">
        <v>2039</v>
      </c>
      <c r="AC8" s="88" t="s">
        <v>2156</v>
      </c>
      <c r="AD8" s="88"/>
      <c r="AE8" s="88" t="s">
        <v>2198</v>
      </c>
      <c r="AF8" s="88" t="s">
        <v>2219</v>
      </c>
      <c r="AG8" s="108">
        <v>1</v>
      </c>
      <c r="AH8" s="111">
        <v>0.970873786407767</v>
      </c>
      <c r="AI8" s="108">
        <v>0</v>
      </c>
      <c r="AJ8" s="111">
        <v>0</v>
      </c>
      <c r="AK8" s="108">
        <v>0</v>
      </c>
      <c r="AL8" s="111">
        <v>0</v>
      </c>
      <c r="AM8" s="108">
        <v>102</v>
      </c>
      <c r="AN8" s="111">
        <v>99.02912621359224</v>
      </c>
      <c r="AO8" s="108">
        <v>103</v>
      </c>
    </row>
    <row r="9" spans="1:41" ht="15">
      <c r="A9" s="65" t="s">
        <v>1783</v>
      </c>
      <c r="B9" s="66" t="s">
        <v>1811</v>
      </c>
      <c r="C9" s="66" t="s">
        <v>56</v>
      </c>
      <c r="D9" s="14"/>
      <c r="E9" s="14"/>
      <c r="F9" s="15" t="s">
        <v>2827</v>
      </c>
      <c r="G9" s="64"/>
      <c r="H9" s="64"/>
      <c r="I9" s="78">
        <v>9</v>
      </c>
      <c r="J9" s="78"/>
      <c r="K9" s="49">
        <v>6</v>
      </c>
      <c r="L9" s="49">
        <v>6</v>
      </c>
      <c r="M9" s="49">
        <v>0</v>
      </c>
      <c r="N9" s="49">
        <v>6</v>
      </c>
      <c r="O9" s="49">
        <v>1</v>
      </c>
      <c r="P9" s="50">
        <v>0</v>
      </c>
      <c r="Q9" s="50">
        <v>0</v>
      </c>
      <c r="R9" s="49">
        <v>1</v>
      </c>
      <c r="S9" s="49">
        <v>0</v>
      </c>
      <c r="T9" s="49">
        <v>6</v>
      </c>
      <c r="U9" s="49">
        <v>6</v>
      </c>
      <c r="V9" s="49">
        <v>2</v>
      </c>
      <c r="W9" s="50">
        <v>1.388889</v>
      </c>
      <c r="X9" s="50">
        <v>0.16666666666666666</v>
      </c>
      <c r="Y9" s="79" t="s">
        <v>1827</v>
      </c>
      <c r="Z9" s="79" t="s">
        <v>519</v>
      </c>
      <c r="AA9" s="79" t="s">
        <v>549</v>
      </c>
      <c r="AB9" s="88" t="s">
        <v>2040</v>
      </c>
      <c r="AC9" s="88" t="s">
        <v>2157</v>
      </c>
      <c r="AD9" s="88"/>
      <c r="AE9" s="88"/>
      <c r="AF9" s="88" t="s">
        <v>2220</v>
      </c>
      <c r="AG9" s="108">
        <v>0</v>
      </c>
      <c r="AH9" s="111">
        <v>0</v>
      </c>
      <c r="AI9" s="108">
        <v>0</v>
      </c>
      <c r="AJ9" s="111">
        <v>0</v>
      </c>
      <c r="AK9" s="108">
        <v>0</v>
      </c>
      <c r="AL9" s="111">
        <v>0</v>
      </c>
      <c r="AM9" s="108">
        <v>204</v>
      </c>
      <c r="AN9" s="111">
        <v>100</v>
      </c>
      <c r="AO9" s="108">
        <v>204</v>
      </c>
    </row>
    <row r="10" spans="1:41" ht="14.25" customHeight="1">
      <c r="A10" s="65" t="s">
        <v>1784</v>
      </c>
      <c r="B10" s="66" t="s">
        <v>1812</v>
      </c>
      <c r="C10" s="66" t="s">
        <v>56</v>
      </c>
      <c r="D10" s="14"/>
      <c r="E10" s="14"/>
      <c r="F10" s="15" t="s">
        <v>2828</v>
      </c>
      <c r="G10" s="64"/>
      <c r="H10" s="64"/>
      <c r="I10" s="78">
        <v>10</v>
      </c>
      <c r="J10" s="78"/>
      <c r="K10" s="49">
        <v>6</v>
      </c>
      <c r="L10" s="49">
        <v>6</v>
      </c>
      <c r="M10" s="49">
        <v>0</v>
      </c>
      <c r="N10" s="49">
        <v>6</v>
      </c>
      <c r="O10" s="49">
        <v>0</v>
      </c>
      <c r="P10" s="50">
        <v>0</v>
      </c>
      <c r="Q10" s="50">
        <v>0</v>
      </c>
      <c r="R10" s="49">
        <v>1</v>
      </c>
      <c r="S10" s="49">
        <v>0</v>
      </c>
      <c r="T10" s="49">
        <v>6</v>
      </c>
      <c r="U10" s="49">
        <v>6</v>
      </c>
      <c r="V10" s="49">
        <v>2</v>
      </c>
      <c r="W10" s="50">
        <v>1.333333</v>
      </c>
      <c r="X10" s="50">
        <v>0.2</v>
      </c>
      <c r="Y10" s="79" t="s">
        <v>1875</v>
      </c>
      <c r="Z10" s="79" t="s">
        <v>522</v>
      </c>
      <c r="AA10" s="79"/>
      <c r="AB10" s="88" t="s">
        <v>2041</v>
      </c>
      <c r="AC10" s="88" t="s">
        <v>2158</v>
      </c>
      <c r="AD10" s="88" t="s">
        <v>393</v>
      </c>
      <c r="AE10" s="88" t="s">
        <v>2199</v>
      </c>
      <c r="AF10" s="88" t="s">
        <v>2221</v>
      </c>
      <c r="AG10" s="108">
        <v>0</v>
      </c>
      <c r="AH10" s="111">
        <v>0</v>
      </c>
      <c r="AI10" s="108">
        <v>1</v>
      </c>
      <c r="AJ10" s="111">
        <v>1.7857142857142858</v>
      </c>
      <c r="AK10" s="108">
        <v>0</v>
      </c>
      <c r="AL10" s="111">
        <v>0</v>
      </c>
      <c r="AM10" s="108">
        <v>55</v>
      </c>
      <c r="AN10" s="111">
        <v>98.21428571428571</v>
      </c>
      <c r="AO10" s="108">
        <v>56</v>
      </c>
    </row>
    <row r="11" spans="1:41" ht="15">
      <c r="A11" s="65" t="s">
        <v>1785</v>
      </c>
      <c r="B11" s="66" t="s">
        <v>1813</v>
      </c>
      <c r="C11" s="66" t="s">
        <v>56</v>
      </c>
      <c r="D11" s="14"/>
      <c r="E11" s="14"/>
      <c r="F11" s="15" t="s">
        <v>1785</v>
      </c>
      <c r="G11" s="64"/>
      <c r="H11" s="64"/>
      <c r="I11" s="78">
        <v>11</v>
      </c>
      <c r="J11" s="78"/>
      <c r="K11" s="49">
        <v>6</v>
      </c>
      <c r="L11" s="49">
        <v>5</v>
      </c>
      <c r="M11" s="49">
        <v>0</v>
      </c>
      <c r="N11" s="49">
        <v>5</v>
      </c>
      <c r="O11" s="49">
        <v>0</v>
      </c>
      <c r="P11" s="50">
        <v>0</v>
      </c>
      <c r="Q11" s="50">
        <v>0</v>
      </c>
      <c r="R11" s="49">
        <v>1</v>
      </c>
      <c r="S11" s="49">
        <v>0</v>
      </c>
      <c r="T11" s="49">
        <v>6</v>
      </c>
      <c r="U11" s="49">
        <v>5</v>
      </c>
      <c r="V11" s="49">
        <v>2</v>
      </c>
      <c r="W11" s="50">
        <v>1.388889</v>
      </c>
      <c r="X11" s="50">
        <v>0.16666666666666666</v>
      </c>
      <c r="Y11" s="79" t="s">
        <v>1822</v>
      </c>
      <c r="Z11" s="79" t="s">
        <v>532</v>
      </c>
      <c r="AA11" s="79"/>
      <c r="AB11" s="88" t="s">
        <v>952</v>
      </c>
      <c r="AC11" s="88" t="s">
        <v>952</v>
      </c>
      <c r="AD11" s="88" t="s">
        <v>388</v>
      </c>
      <c r="AE11" s="88" t="s">
        <v>2200</v>
      </c>
      <c r="AF11" s="88" t="s">
        <v>2222</v>
      </c>
      <c r="AG11" s="108">
        <v>1</v>
      </c>
      <c r="AH11" s="111">
        <v>10</v>
      </c>
      <c r="AI11" s="108">
        <v>2</v>
      </c>
      <c r="AJ11" s="111">
        <v>20</v>
      </c>
      <c r="AK11" s="108">
        <v>0</v>
      </c>
      <c r="AL11" s="111">
        <v>0</v>
      </c>
      <c r="AM11" s="108">
        <v>7</v>
      </c>
      <c r="AN11" s="111">
        <v>70</v>
      </c>
      <c r="AO11" s="108">
        <v>10</v>
      </c>
    </row>
    <row r="12" spans="1:41" ht="15">
      <c r="A12" s="65" t="s">
        <v>1786</v>
      </c>
      <c r="B12" s="66" t="s">
        <v>1814</v>
      </c>
      <c r="C12" s="66" t="s">
        <v>56</v>
      </c>
      <c r="D12" s="14"/>
      <c r="E12" s="14"/>
      <c r="F12" s="15" t="s">
        <v>2829</v>
      </c>
      <c r="G12" s="64"/>
      <c r="H12" s="64"/>
      <c r="I12" s="78">
        <v>12</v>
      </c>
      <c r="J12" s="78"/>
      <c r="K12" s="49">
        <v>5</v>
      </c>
      <c r="L12" s="49">
        <v>9</v>
      </c>
      <c r="M12" s="49">
        <v>0</v>
      </c>
      <c r="N12" s="49">
        <v>9</v>
      </c>
      <c r="O12" s="49">
        <v>1</v>
      </c>
      <c r="P12" s="50">
        <v>0.14285714285714285</v>
      </c>
      <c r="Q12" s="50">
        <v>0.25</v>
      </c>
      <c r="R12" s="49">
        <v>1</v>
      </c>
      <c r="S12" s="49">
        <v>0</v>
      </c>
      <c r="T12" s="49">
        <v>5</v>
      </c>
      <c r="U12" s="49">
        <v>9</v>
      </c>
      <c r="V12" s="49">
        <v>2</v>
      </c>
      <c r="W12" s="50">
        <v>1.04</v>
      </c>
      <c r="X12" s="50">
        <v>0.4</v>
      </c>
      <c r="Y12" s="79" t="s">
        <v>1887</v>
      </c>
      <c r="Z12" s="79" t="s">
        <v>1917</v>
      </c>
      <c r="AA12" s="79" t="s">
        <v>1961</v>
      </c>
      <c r="AB12" s="88" t="s">
        <v>2042</v>
      </c>
      <c r="AC12" s="88" t="s">
        <v>2159</v>
      </c>
      <c r="AD12" s="88"/>
      <c r="AE12" s="88" t="s">
        <v>365</v>
      </c>
      <c r="AF12" s="88" t="s">
        <v>2223</v>
      </c>
      <c r="AG12" s="108">
        <v>5</v>
      </c>
      <c r="AH12" s="111">
        <v>2.2831050228310503</v>
      </c>
      <c r="AI12" s="108">
        <v>0</v>
      </c>
      <c r="AJ12" s="111">
        <v>0</v>
      </c>
      <c r="AK12" s="108">
        <v>0</v>
      </c>
      <c r="AL12" s="111">
        <v>0</v>
      </c>
      <c r="AM12" s="108">
        <v>214</v>
      </c>
      <c r="AN12" s="111">
        <v>97.71689497716895</v>
      </c>
      <c r="AO12" s="108">
        <v>219</v>
      </c>
    </row>
    <row r="13" spans="1:41" ht="15">
      <c r="A13" s="65" t="s">
        <v>1787</v>
      </c>
      <c r="B13" s="66" t="s">
        <v>1815</v>
      </c>
      <c r="C13" s="66" t="s">
        <v>56</v>
      </c>
      <c r="D13" s="14"/>
      <c r="E13" s="14"/>
      <c r="F13" s="15" t="s">
        <v>2830</v>
      </c>
      <c r="G13" s="64"/>
      <c r="H13" s="64"/>
      <c r="I13" s="78">
        <v>13</v>
      </c>
      <c r="J13" s="78"/>
      <c r="K13" s="49">
        <v>5</v>
      </c>
      <c r="L13" s="49">
        <v>4</v>
      </c>
      <c r="M13" s="49">
        <v>0</v>
      </c>
      <c r="N13" s="49">
        <v>4</v>
      </c>
      <c r="O13" s="49">
        <v>0</v>
      </c>
      <c r="P13" s="50">
        <v>0</v>
      </c>
      <c r="Q13" s="50">
        <v>0</v>
      </c>
      <c r="R13" s="49">
        <v>1</v>
      </c>
      <c r="S13" s="49">
        <v>0</v>
      </c>
      <c r="T13" s="49">
        <v>5</v>
      </c>
      <c r="U13" s="49">
        <v>4</v>
      </c>
      <c r="V13" s="49">
        <v>2</v>
      </c>
      <c r="W13" s="50">
        <v>1.28</v>
      </c>
      <c r="X13" s="50">
        <v>0.2</v>
      </c>
      <c r="Y13" s="79"/>
      <c r="Z13" s="79"/>
      <c r="AA13" s="79"/>
      <c r="AB13" s="88" t="s">
        <v>1984</v>
      </c>
      <c r="AC13" s="88" t="s">
        <v>952</v>
      </c>
      <c r="AD13" s="88" t="s">
        <v>400</v>
      </c>
      <c r="AE13" s="88" t="s">
        <v>2201</v>
      </c>
      <c r="AF13" s="88" t="s">
        <v>2224</v>
      </c>
      <c r="AG13" s="108">
        <v>0</v>
      </c>
      <c r="AH13" s="111">
        <v>0</v>
      </c>
      <c r="AI13" s="108">
        <v>1</v>
      </c>
      <c r="AJ13" s="111">
        <v>1.6129032258064515</v>
      </c>
      <c r="AK13" s="108">
        <v>0</v>
      </c>
      <c r="AL13" s="111">
        <v>0</v>
      </c>
      <c r="AM13" s="108">
        <v>61</v>
      </c>
      <c r="AN13" s="111">
        <v>98.38709677419355</v>
      </c>
      <c r="AO13" s="108">
        <v>62</v>
      </c>
    </row>
    <row r="14" spans="1:41" ht="15">
      <c r="A14" s="65" t="s">
        <v>1788</v>
      </c>
      <c r="B14" s="66" t="s">
        <v>1816</v>
      </c>
      <c r="C14" s="66" t="s">
        <v>56</v>
      </c>
      <c r="D14" s="14"/>
      <c r="E14" s="14"/>
      <c r="F14" s="15" t="s">
        <v>2831</v>
      </c>
      <c r="G14" s="64"/>
      <c r="H14" s="64"/>
      <c r="I14" s="78">
        <v>14</v>
      </c>
      <c r="J14" s="78"/>
      <c r="K14" s="49">
        <v>3</v>
      </c>
      <c r="L14" s="49">
        <v>2</v>
      </c>
      <c r="M14" s="49">
        <v>2</v>
      </c>
      <c r="N14" s="49">
        <v>4</v>
      </c>
      <c r="O14" s="49">
        <v>2</v>
      </c>
      <c r="P14" s="50">
        <v>0</v>
      </c>
      <c r="Q14" s="50">
        <v>0</v>
      </c>
      <c r="R14" s="49">
        <v>1</v>
      </c>
      <c r="S14" s="49">
        <v>0</v>
      </c>
      <c r="T14" s="49">
        <v>3</v>
      </c>
      <c r="U14" s="49">
        <v>4</v>
      </c>
      <c r="V14" s="49">
        <v>2</v>
      </c>
      <c r="W14" s="50">
        <v>0.888889</v>
      </c>
      <c r="X14" s="50">
        <v>0.3333333333333333</v>
      </c>
      <c r="Y14" s="79" t="s">
        <v>1888</v>
      </c>
      <c r="Z14" s="79" t="s">
        <v>525</v>
      </c>
      <c r="AA14" s="79" t="s">
        <v>557</v>
      </c>
      <c r="AB14" s="88" t="s">
        <v>2043</v>
      </c>
      <c r="AC14" s="88" t="s">
        <v>2160</v>
      </c>
      <c r="AD14" s="88"/>
      <c r="AE14" s="88"/>
      <c r="AF14" s="88" t="s">
        <v>2225</v>
      </c>
      <c r="AG14" s="108">
        <v>0</v>
      </c>
      <c r="AH14" s="111">
        <v>0</v>
      </c>
      <c r="AI14" s="108">
        <v>0</v>
      </c>
      <c r="AJ14" s="111">
        <v>0</v>
      </c>
      <c r="AK14" s="108">
        <v>0</v>
      </c>
      <c r="AL14" s="111">
        <v>0</v>
      </c>
      <c r="AM14" s="108">
        <v>48</v>
      </c>
      <c r="AN14" s="111">
        <v>100</v>
      </c>
      <c r="AO14" s="108">
        <v>48</v>
      </c>
    </row>
    <row r="15" spans="1:41" ht="15">
      <c r="A15" s="65" t="s">
        <v>1789</v>
      </c>
      <c r="B15" s="66" t="s">
        <v>1805</v>
      </c>
      <c r="C15" s="66" t="s">
        <v>59</v>
      </c>
      <c r="D15" s="14"/>
      <c r="E15" s="14"/>
      <c r="F15" s="15" t="s">
        <v>2832</v>
      </c>
      <c r="G15" s="64"/>
      <c r="H15" s="64"/>
      <c r="I15" s="78">
        <v>15</v>
      </c>
      <c r="J15" s="78"/>
      <c r="K15" s="49">
        <v>3</v>
      </c>
      <c r="L15" s="49">
        <v>3</v>
      </c>
      <c r="M15" s="49">
        <v>0</v>
      </c>
      <c r="N15" s="49">
        <v>3</v>
      </c>
      <c r="O15" s="49">
        <v>1</v>
      </c>
      <c r="P15" s="50">
        <v>0</v>
      </c>
      <c r="Q15" s="50">
        <v>0</v>
      </c>
      <c r="R15" s="49">
        <v>1</v>
      </c>
      <c r="S15" s="49">
        <v>0</v>
      </c>
      <c r="T15" s="49">
        <v>3</v>
      </c>
      <c r="U15" s="49">
        <v>3</v>
      </c>
      <c r="V15" s="49">
        <v>2</v>
      </c>
      <c r="W15" s="50">
        <v>0.888889</v>
      </c>
      <c r="X15" s="50">
        <v>0.3333333333333333</v>
      </c>
      <c r="Y15" s="79" t="s">
        <v>1889</v>
      </c>
      <c r="Z15" s="79" t="s">
        <v>532</v>
      </c>
      <c r="AA15" s="79"/>
      <c r="AB15" s="88" t="s">
        <v>2044</v>
      </c>
      <c r="AC15" s="88" t="s">
        <v>2161</v>
      </c>
      <c r="AD15" s="88"/>
      <c r="AE15" s="88"/>
      <c r="AF15" s="88" t="s">
        <v>2226</v>
      </c>
      <c r="AG15" s="108">
        <v>0</v>
      </c>
      <c r="AH15" s="111">
        <v>0</v>
      </c>
      <c r="AI15" s="108">
        <v>0</v>
      </c>
      <c r="AJ15" s="111">
        <v>0</v>
      </c>
      <c r="AK15" s="108">
        <v>0</v>
      </c>
      <c r="AL15" s="111">
        <v>0</v>
      </c>
      <c r="AM15" s="108">
        <v>33</v>
      </c>
      <c r="AN15" s="111">
        <v>100</v>
      </c>
      <c r="AO15" s="108">
        <v>33</v>
      </c>
    </row>
    <row r="16" spans="1:41" ht="15">
      <c r="A16" s="65" t="s">
        <v>1790</v>
      </c>
      <c r="B16" s="66" t="s">
        <v>1806</v>
      </c>
      <c r="C16" s="66" t="s">
        <v>59</v>
      </c>
      <c r="D16" s="14"/>
      <c r="E16" s="14"/>
      <c r="F16" s="15" t="s">
        <v>2833</v>
      </c>
      <c r="G16" s="64"/>
      <c r="H16" s="64"/>
      <c r="I16" s="78">
        <v>16</v>
      </c>
      <c r="J16" s="78"/>
      <c r="K16" s="49">
        <v>3</v>
      </c>
      <c r="L16" s="49">
        <v>2</v>
      </c>
      <c r="M16" s="49">
        <v>6</v>
      </c>
      <c r="N16" s="49">
        <v>8</v>
      </c>
      <c r="O16" s="49">
        <v>6</v>
      </c>
      <c r="P16" s="50">
        <v>0</v>
      </c>
      <c r="Q16" s="50">
        <v>0</v>
      </c>
      <c r="R16" s="49">
        <v>1</v>
      </c>
      <c r="S16" s="49">
        <v>0</v>
      </c>
      <c r="T16" s="49">
        <v>3</v>
      </c>
      <c r="U16" s="49">
        <v>8</v>
      </c>
      <c r="V16" s="49">
        <v>2</v>
      </c>
      <c r="W16" s="50">
        <v>0.888889</v>
      </c>
      <c r="X16" s="50">
        <v>0.3333333333333333</v>
      </c>
      <c r="Y16" s="79" t="s">
        <v>1890</v>
      </c>
      <c r="Z16" s="79" t="s">
        <v>1918</v>
      </c>
      <c r="AA16" s="79"/>
      <c r="AB16" s="88" t="s">
        <v>2045</v>
      </c>
      <c r="AC16" s="88" t="s">
        <v>2162</v>
      </c>
      <c r="AD16" s="88"/>
      <c r="AE16" s="88"/>
      <c r="AF16" s="88" t="s">
        <v>2227</v>
      </c>
      <c r="AG16" s="108">
        <v>4</v>
      </c>
      <c r="AH16" s="111">
        <v>2.6666666666666665</v>
      </c>
      <c r="AI16" s="108">
        <v>1</v>
      </c>
      <c r="AJ16" s="111">
        <v>0.6666666666666666</v>
      </c>
      <c r="AK16" s="108">
        <v>0</v>
      </c>
      <c r="AL16" s="111">
        <v>0</v>
      </c>
      <c r="AM16" s="108">
        <v>145</v>
      </c>
      <c r="AN16" s="111">
        <v>96.66666666666667</v>
      </c>
      <c r="AO16" s="108">
        <v>150</v>
      </c>
    </row>
    <row r="17" spans="1:41" ht="15">
      <c r="A17" s="65" t="s">
        <v>1791</v>
      </c>
      <c r="B17" s="66" t="s">
        <v>1807</v>
      </c>
      <c r="C17" s="66" t="s">
        <v>59</v>
      </c>
      <c r="D17" s="14"/>
      <c r="E17" s="14"/>
      <c r="F17" s="15" t="s">
        <v>2834</v>
      </c>
      <c r="G17" s="64"/>
      <c r="H17" s="64"/>
      <c r="I17" s="78">
        <v>17</v>
      </c>
      <c r="J17" s="78"/>
      <c r="K17" s="49">
        <v>3</v>
      </c>
      <c r="L17" s="49">
        <v>3</v>
      </c>
      <c r="M17" s="49">
        <v>0</v>
      </c>
      <c r="N17" s="49">
        <v>3</v>
      </c>
      <c r="O17" s="49">
        <v>1</v>
      </c>
      <c r="P17" s="50">
        <v>0</v>
      </c>
      <c r="Q17" s="50">
        <v>0</v>
      </c>
      <c r="R17" s="49">
        <v>1</v>
      </c>
      <c r="S17" s="49">
        <v>0</v>
      </c>
      <c r="T17" s="49">
        <v>3</v>
      </c>
      <c r="U17" s="49">
        <v>3</v>
      </c>
      <c r="V17" s="49">
        <v>2</v>
      </c>
      <c r="W17" s="50">
        <v>0.888889</v>
      </c>
      <c r="X17" s="50">
        <v>0.3333333333333333</v>
      </c>
      <c r="Y17" s="79" t="s">
        <v>1891</v>
      </c>
      <c r="Z17" s="79" t="s">
        <v>523</v>
      </c>
      <c r="AA17" s="79"/>
      <c r="AB17" s="88" t="s">
        <v>2046</v>
      </c>
      <c r="AC17" s="88" t="s">
        <v>2163</v>
      </c>
      <c r="AD17" s="88"/>
      <c r="AE17" s="88"/>
      <c r="AF17" s="88" t="s">
        <v>2228</v>
      </c>
      <c r="AG17" s="108">
        <v>3</v>
      </c>
      <c r="AH17" s="111">
        <v>3.5714285714285716</v>
      </c>
      <c r="AI17" s="108">
        <v>6</v>
      </c>
      <c r="AJ17" s="111">
        <v>7.142857142857143</v>
      </c>
      <c r="AK17" s="108">
        <v>0</v>
      </c>
      <c r="AL17" s="111">
        <v>0</v>
      </c>
      <c r="AM17" s="108">
        <v>75</v>
      </c>
      <c r="AN17" s="111">
        <v>89.28571428571429</v>
      </c>
      <c r="AO17" s="108">
        <v>84</v>
      </c>
    </row>
    <row r="18" spans="1:41" ht="15">
      <c r="A18" s="65" t="s">
        <v>1792</v>
      </c>
      <c r="B18" s="66" t="s">
        <v>1808</v>
      </c>
      <c r="C18" s="66" t="s">
        <v>59</v>
      </c>
      <c r="D18" s="14"/>
      <c r="E18" s="14"/>
      <c r="F18" s="15" t="s">
        <v>2835</v>
      </c>
      <c r="G18" s="64"/>
      <c r="H18" s="64"/>
      <c r="I18" s="78">
        <v>18</v>
      </c>
      <c r="J18" s="78"/>
      <c r="K18" s="49">
        <v>3</v>
      </c>
      <c r="L18" s="49">
        <v>3</v>
      </c>
      <c r="M18" s="49">
        <v>0</v>
      </c>
      <c r="N18" s="49">
        <v>3</v>
      </c>
      <c r="O18" s="49">
        <v>0</v>
      </c>
      <c r="P18" s="50">
        <v>0</v>
      </c>
      <c r="Q18" s="50">
        <v>0</v>
      </c>
      <c r="R18" s="49">
        <v>1</v>
      </c>
      <c r="S18" s="49">
        <v>0</v>
      </c>
      <c r="T18" s="49">
        <v>3</v>
      </c>
      <c r="U18" s="49">
        <v>3</v>
      </c>
      <c r="V18" s="49">
        <v>1</v>
      </c>
      <c r="W18" s="50">
        <v>0.666667</v>
      </c>
      <c r="X18" s="50">
        <v>0.5</v>
      </c>
      <c r="Y18" s="79"/>
      <c r="Z18" s="79"/>
      <c r="AA18" s="79"/>
      <c r="AB18" s="88" t="s">
        <v>2047</v>
      </c>
      <c r="AC18" s="88" t="s">
        <v>2164</v>
      </c>
      <c r="AD18" s="88"/>
      <c r="AE18" s="88" t="s">
        <v>367</v>
      </c>
      <c r="AF18" s="88" t="s">
        <v>2229</v>
      </c>
      <c r="AG18" s="108">
        <v>2</v>
      </c>
      <c r="AH18" s="111">
        <v>2.2222222222222223</v>
      </c>
      <c r="AI18" s="108">
        <v>0</v>
      </c>
      <c r="AJ18" s="111">
        <v>0</v>
      </c>
      <c r="AK18" s="108">
        <v>0</v>
      </c>
      <c r="AL18" s="111">
        <v>0</v>
      </c>
      <c r="AM18" s="108">
        <v>88</v>
      </c>
      <c r="AN18" s="111">
        <v>97.77777777777777</v>
      </c>
      <c r="AO18" s="108">
        <v>90</v>
      </c>
    </row>
    <row r="19" spans="1:41" ht="15">
      <c r="A19" s="65" t="s">
        <v>1793</v>
      </c>
      <c r="B19" s="66" t="s">
        <v>1809</v>
      </c>
      <c r="C19" s="66" t="s">
        <v>59</v>
      </c>
      <c r="D19" s="14"/>
      <c r="E19" s="14"/>
      <c r="F19" s="15" t="s">
        <v>2836</v>
      </c>
      <c r="G19" s="64"/>
      <c r="H19" s="64"/>
      <c r="I19" s="78">
        <v>19</v>
      </c>
      <c r="J19" s="78"/>
      <c r="K19" s="49">
        <v>2</v>
      </c>
      <c r="L19" s="49">
        <v>1</v>
      </c>
      <c r="M19" s="49">
        <v>0</v>
      </c>
      <c r="N19" s="49">
        <v>1</v>
      </c>
      <c r="O19" s="49">
        <v>0</v>
      </c>
      <c r="P19" s="50">
        <v>0</v>
      </c>
      <c r="Q19" s="50">
        <v>0</v>
      </c>
      <c r="R19" s="49">
        <v>1</v>
      </c>
      <c r="S19" s="49">
        <v>0</v>
      </c>
      <c r="T19" s="49">
        <v>2</v>
      </c>
      <c r="U19" s="49">
        <v>1</v>
      </c>
      <c r="V19" s="49">
        <v>1</v>
      </c>
      <c r="W19" s="50">
        <v>0.5</v>
      </c>
      <c r="X19" s="50">
        <v>0.5</v>
      </c>
      <c r="Y19" s="79"/>
      <c r="Z19" s="79"/>
      <c r="AA19" s="79"/>
      <c r="AB19" s="88" t="s">
        <v>2048</v>
      </c>
      <c r="AC19" s="88" t="s">
        <v>952</v>
      </c>
      <c r="AD19" s="88" t="s">
        <v>405</v>
      </c>
      <c r="AE19" s="88"/>
      <c r="AF19" s="88" t="s">
        <v>2230</v>
      </c>
      <c r="AG19" s="108">
        <v>2</v>
      </c>
      <c r="AH19" s="111">
        <v>4.081632653061225</v>
      </c>
      <c r="AI19" s="108">
        <v>0</v>
      </c>
      <c r="AJ19" s="111">
        <v>0</v>
      </c>
      <c r="AK19" s="108">
        <v>0</v>
      </c>
      <c r="AL19" s="111">
        <v>0</v>
      </c>
      <c r="AM19" s="108">
        <v>47</v>
      </c>
      <c r="AN19" s="111">
        <v>95.91836734693878</v>
      </c>
      <c r="AO19" s="108">
        <v>49</v>
      </c>
    </row>
    <row r="20" spans="1:41" ht="15">
      <c r="A20" s="65" t="s">
        <v>1794</v>
      </c>
      <c r="B20" s="66" t="s">
        <v>1810</v>
      </c>
      <c r="C20" s="66" t="s">
        <v>59</v>
      </c>
      <c r="D20" s="14"/>
      <c r="E20" s="14"/>
      <c r="F20" s="15" t="s">
        <v>2837</v>
      </c>
      <c r="G20" s="64"/>
      <c r="H20" s="64"/>
      <c r="I20" s="78">
        <v>20</v>
      </c>
      <c r="J20" s="78"/>
      <c r="K20" s="49">
        <v>2</v>
      </c>
      <c r="L20" s="49">
        <v>0</v>
      </c>
      <c r="M20" s="49">
        <v>4</v>
      </c>
      <c r="N20" s="49">
        <v>4</v>
      </c>
      <c r="O20" s="49">
        <v>2</v>
      </c>
      <c r="P20" s="50">
        <v>0</v>
      </c>
      <c r="Q20" s="50">
        <v>0</v>
      </c>
      <c r="R20" s="49">
        <v>1</v>
      </c>
      <c r="S20" s="49">
        <v>0</v>
      </c>
      <c r="T20" s="49">
        <v>2</v>
      </c>
      <c r="U20" s="49">
        <v>4</v>
      </c>
      <c r="V20" s="49">
        <v>1</v>
      </c>
      <c r="W20" s="50">
        <v>0.5</v>
      </c>
      <c r="X20" s="50">
        <v>0.5</v>
      </c>
      <c r="Y20" s="79"/>
      <c r="Z20" s="79"/>
      <c r="AA20" s="79"/>
      <c r="AB20" s="88" t="s">
        <v>2049</v>
      </c>
      <c r="AC20" s="88" t="s">
        <v>2165</v>
      </c>
      <c r="AD20" s="88"/>
      <c r="AE20" s="88"/>
      <c r="AF20" s="88" t="s">
        <v>2231</v>
      </c>
      <c r="AG20" s="108">
        <v>8</v>
      </c>
      <c r="AH20" s="111">
        <v>5.2631578947368425</v>
      </c>
      <c r="AI20" s="108">
        <v>0</v>
      </c>
      <c r="AJ20" s="111">
        <v>0</v>
      </c>
      <c r="AK20" s="108">
        <v>0</v>
      </c>
      <c r="AL20" s="111">
        <v>0</v>
      </c>
      <c r="AM20" s="108">
        <v>144</v>
      </c>
      <c r="AN20" s="111">
        <v>94.73684210526316</v>
      </c>
      <c r="AO20" s="108">
        <v>152</v>
      </c>
    </row>
    <row r="21" spans="1:41" ht="15">
      <c r="A21" s="65" t="s">
        <v>1795</v>
      </c>
      <c r="B21" s="66" t="s">
        <v>1811</v>
      </c>
      <c r="C21" s="66" t="s">
        <v>59</v>
      </c>
      <c r="D21" s="14"/>
      <c r="E21" s="14"/>
      <c r="F21" s="15" t="s">
        <v>2838</v>
      </c>
      <c r="G21" s="64"/>
      <c r="H21" s="64"/>
      <c r="I21" s="78">
        <v>21</v>
      </c>
      <c r="J21" s="78"/>
      <c r="K21" s="49">
        <v>2</v>
      </c>
      <c r="L21" s="49">
        <v>1</v>
      </c>
      <c r="M21" s="49">
        <v>0</v>
      </c>
      <c r="N21" s="49">
        <v>1</v>
      </c>
      <c r="O21" s="49">
        <v>0</v>
      </c>
      <c r="P21" s="50">
        <v>0</v>
      </c>
      <c r="Q21" s="50">
        <v>0</v>
      </c>
      <c r="R21" s="49">
        <v>1</v>
      </c>
      <c r="S21" s="49">
        <v>0</v>
      </c>
      <c r="T21" s="49">
        <v>2</v>
      </c>
      <c r="U21" s="49">
        <v>1</v>
      </c>
      <c r="V21" s="49">
        <v>1</v>
      </c>
      <c r="W21" s="50">
        <v>0.5</v>
      </c>
      <c r="X21" s="50">
        <v>0.5</v>
      </c>
      <c r="Y21" s="79" t="s">
        <v>1892</v>
      </c>
      <c r="Z21" s="79" t="s">
        <v>533</v>
      </c>
      <c r="AA21" s="79" t="s">
        <v>1962</v>
      </c>
      <c r="AB21" s="88" t="s">
        <v>2050</v>
      </c>
      <c r="AC21" s="88" t="s">
        <v>952</v>
      </c>
      <c r="AD21" s="88"/>
      <c r="AE21" s="88" t="s">
        <v>383</v>
      </c>
      <c r="AF21" s="88" t="s">
        <v>2232</v>
      </c>
      <c r="AG21" s="108">
        <v>0</v>
      </c>
      <c r="AH21" s="111">
        <v>0</v>
      </c>
      <c r="AI21" s="108">
        <v>0</v>
      </c>
      <c r="AJ21" s="111">
        <v>0</v>
      </c>
      <c r="AK21" s="108">
        <v>0</v>
      </c>
      <c r="AL21" s="111">
        <v>0</v>
      </c>
      <c r="AM21" s="108">
        <v>10</v>
      </c>
      <c r="AN21" s="111">
        <v>100</v>
      </c>
      <c r="AO21" s="108">
        <v>10</v>
      </c>
    </row>
    <row r="22" spans="1:41" ht="15">
      <c r="A22" s="65" t="s">
        <v>1796</v>
      </c>
      <c r="B22" s="66" t="s">
        <v>1812</v>
      </c>
      <c r="C22" s="66" t="s">
        <v>59</v>
      </c>
      <c r="D22" s="14"/>
      <c r="E22" s="14"/>
      <c r="F22" s="15" t="s">
        <v>2839</v>
      </c>
      <c r="G22" s="64"/>
      <c r="H22" s="64"/>
      <c r="I22" s="78">
        <v>22</v>
      </c>
      <c r="J22" s="78"/>
      <c r="K22" s="49">
        <v>2</v>
      </c>
      <c r="L22" s="49">
        <v>2</v>
      </c>
      <c r="M22" s="49">
        <v>0</v>
      </c>
      <c r="N22" s="49">
        <v>2</v>
      </c>
      <c r="O22" s="49">
        <v>1</v>
      </c>
      <c r="P22" s="50">
        <v>0</v>
      </c>
      <c r="Q22" s="50">
        <v>0</v>
      </c>
      <c r="R22" s="49">
        <v>1</v>
      </c>
      <c r="S22" s="49">
        <v>0</v>
      </c>
      <c r="T22" s="49">
        <v>2</v>
      </c>
      <c r="U22" s="49">
        <v>2</v>
      </c>
      <c r="V22" s="49">
        <v>1</v>
      </c>
      <c r="W22" s="50">
        <v>0.5</v>
      </c>
      <c r="X22" s="50">
        <v>0.5</v>
      </c>
      <c r="Y22" s="79" t="s">
        <v>1828</v>
      </c>
      <c r="Z22" s="79" t="s">
        <v>514</v>
      </c>
      <c r="AA22" s="79" t="s">
        <v>554</v>
      </c>
      <c r="AB22" s="88" t="s">
        <v>2051</v>
      </c>
      <c r="AC22" s="88" t="s">
        <v>2166</v>
      </c>
      <c r="AD22" s="88"/>
      <c r="AE22" s="88"/>
      <c r="AF22" s="88" t="s">
        <v>2233</v>
      </c>
      <c r="AG22" s="108">
        <v>2</v>
      </c>
      <c r="AH22" s="111">
        <v>3.8461538461538463</v>
      </c>
      <c r="AI22" s="108">
        <v>0</v>
      </c>
      <c r="AJ22" s="111">
        <v>0</v>
      </c>
      <c r="AK22" s="108">
        <v>0</v>
      </c>
      <c r="AL22" s="111">
        <v>0</v>
      </c>
      <c r="AM22" s="108">
        <v>50</v>
      </c>
      <c r="AN22" s="111">
        <v>96.15384615384616</v>
      </c>
      <c r="AO22" s="108">
        <v>52</v>
      </c>
    </row>
    <row r="23" spans="1:41" ht="15">
      <c r="A23" s="65" t="s">
        <v>1797</v>
      </c>
      <c r="B23" s="66" t="s">
        <v>1813</v>
      </c>
      <c r="C23" s="66" t="s">
        <v>59</v>
      </c>
      <c r="D23" s="14"/>
      <c r="E23" s="14"/>
      <c r="F23" s="15" t="s">
        <v>2840</v>
      </c>
      <c r="G23" s="64"/>
      <c r="H23" s="64"/>
      <c r="I23" s="78">
        <v>23</v>
      </c>
      <c r="J23" s="78"/>
      <c r="K23" s="49">
        <v>2</v>
      </c>
      <c r="L23" s="49">
        <v>1</v>
      </c>
      <c r="M23" s="49">
        <v>0</v>
      </c>
      <c r="N23" s="49">
        <v>1</v>
      </c>
      <c r="O23" s="49">
        <v>0</v>
      </c>
      <c r="P23" s="50">
        <v>0</v>
      </c>
      <c r="Q23" s="50">
        <v>0</v>
      </c>
      <c r="R23" s="49">
        <v>1</v>
      </c>
      <c r="S23" s="49">
        <v>0</v>
      </c>
      <c r="T23" s="49">
        <v>2</v>
      </c>
      <c r="U23" s="49">
        <v>1</v>
      </c>
      <c r="V23" s="49">
        <v>1</v>
      </c>
      <c r="W23" s="50">
        <v>0.5</v>
      </c>
      <c r="X23" s="50">
        <v>0.5</v>
      </c>
      <c r="Y23" s="79"/>
      <c r="Z23" s="79"/>
      <c r="AA23" s="79"/>
      <c r="AB23" s="88" t="s">
        <v>2052</v>
      </c>
      <c r="AC23" s="88" t="s">
        <v>952</v>
      </c>
      <c r="AD23" s="88" t="s">
        <v>382</v>
      </c>
      <c r="AE23" s="88"/>
      <c r="AF23" s="88" t="s">
        <v>2234</v>
      </c>
      <c r="AG23" s="108">
        <v>1</v>
      </c>
      <c r="AH23" s="111">
        <v>3.8461538461538463</v>
      </c>
      <c r="AI23" s="108">
        <v>0</v>
      </c>
      <c r="AJ23" s="111">
        <v>0</v>
      </c>
      <c r="AK23" s="108">
        <v>0</v>
      </c>
      <c r="AL23" s="111">
        <v>0</v>
      </c>
      <c r="AM23" s="108">
        <v>25</v>
      </c>
      <c r="AN23" s="111">
        <v>96.15384615384616</v>
      </c>
      <c r="AO23" s="108">
        <v>26</v>
      </c>
    </row>
    <row r="24" spans="1:41" ht="15">
      <c r="A24" s="65" t="s">
        <v>1798</v>
      </c>
      <c r="B24" s="66" t="s">
        <v>1814</v>
      </c>
      <c r="C24" s="66" t="s">
        <v>59</v>
      </c>
      <c r="D24" s="14"/>
      <c r="E24" s="14"/>
      <c r="F24" s="15" t="s">
        <v>2841</v>
      </c>
      <c r="G24" s="64"/>
      <c r="H24" s="64"/>
      <c r="I24" s="78">
        <v>24</v>
      </c>
      <c r="J24" s="78"/>
      <c r="K24" s="49">
        <v>2</v>
      </c>
      <c r="L24" s="49">
        <v>2</v>
      </c>
      <c r="M24" s="49">
        <v>0</v>
      </c>
      <c r="N24" s="49">
        <v>2</v>
      </c>
      <c r="O24" s="49">
        <v>1</v>
      </c>
      <c r="P24" s="50">
        <v>0</v>
      </c>
      <c r="Q24" s="50">
        <v>0</v>
      </c>
      <c r="R24" s="49">
        <v>1</v>
      </c>
      <c r="S24" s="49">
        <v>0</v>
      </c>
      <c r="T24" s="49">
        <v>2</v>
      </c>
      <c r="U24" s="49">
        <v>2</v>
      </c>
      <c r="V24" s="49">
        <v>1</v>
      </c>
      <c r="W24" s="50">
        <v>0.5</v>
      </c>
      <c r="X24" s="50">
        <v>0.5</v>
      </c>
      <c r="Y24" s="79"/>
      <c r="Z24" s="79"/>
      <c r="AA24" s="79"/>
      <c r="AB24" s="88" t="s">
        <v>2053</v>
      </c>
      <c r="AC24" s="88" t="s">
        <v>2167</v>
      </c>
      <c r="AD24" s="88" t="s">
        <v>278</v>
      </c>
      <c r="AE24" s="88"/>
      <c r="AF24" s="88" t="s">
        <v>2235</v>
      </c>
      <c r="AG24" s="108">
        <v>0</v>
      </c>
      <c r="AH24" s="111">
        <v>0</v>
      </c>
      <c r="AI24" s="108">
        <v>0</v>
      </c>
      <c r="AJ24" s="111">
        <v>0</v>
      </c>
      <c r="AK24" s="108">
        <v>0</v>
      </c>
      <c r="AL24" s="111">
        <v>0</v>
      </c>
      <c r="AM24" s="108">
        <v>17</v>
      </c>
      <c r="AN24" s="111">
        <v>100</v>
      </c>
      <c r="AO24" s="108">
        <v>17</v>
      </c>
    </row>
    <row r="25" spans="1:41" ht="15">
      <c r="A25" s="65" t="s">
        <v>1799</v>
      </c>
      <c r="B25" s="66" t="s">
        <v>1815</v>
      </c>
      <c r="C25" s="66" t="s">
        <v>59</v>
      </c>
      <c r="D25" s="14"/>
      <c r="E25" s="14"/>
      <c r="F25" s="15" t="s">
        <v>2842</v>
      </c>
      <c r="G25" s="64"/>
      <c r="H25" s="64"/>
      <c r="I25" s="78">
        <v>25</v>
      </c>
      <c r="J25" s="78"/>
      <c r="K25" s="49">
        <v>2</v>
      </c>
      <c r="L25" s="49">
        <v>1</v>
      </c>
      <c r="M25" s="49">
        <v>0</v>
      </c>
      <c r="N25" s="49">
        <v>1</v>
      </c>
      <c r="O25" s="49">
        <v>0</v>
      </c>
      <c r="P25" s="50">
        <v>0</v>
      </c>
      <c r="Q25" s="50">
        <v>0</v>
      </c>
      <c r="R25" s="49">
        <v>1</v>
      </c>
      <c r="S25" s="49">
        <v>0</v>
      </c>
      <c r="T25" s="49">
        <v>2</v>
      </c>
      <c r="U25" s="49">
        <v>1</v>
      </c>
      <c r="V25" s="49">
        <v>1</v>
      </c>
      <c r="W25" s="50">
        <v>0.5</v>
      </c>
      <c r="X25" s="50">
        <v>0.5</v>
      </c>
      <c r="Y25" s="79"/>
      <c r="Z25" s="79"/>
      <c r="AA25" s="79"/>
      <c r="AB25" s="88" t="s">
        <v>2054</v>
      </c>
      <c r="AC25" s="88" t="s">
        <v>2059</v>
      </c>
      <c r="AD25" s="88" t="s">
        <v>379</v>
      </c>
      <c r="AE25" s="88"/>
      <c r="AF25" s="88" t="s">
        <v>2236</v>
      </c>
      <c r="AG25" s="108">
        <v>1</v>
      </c>
      <c r="AH25" s="111">
        <v>1.9230769230769231</v>
      </c>
      <c r="AI25" s="108">
        <v>1</v>
      </c>
      <c r="AJ25" s="111">
        <v>1.9230769230769231</v>
      </c>
      <c r="AK25" s="108">
        <v>0</v>
      </c>
      <c r="AL25" s="111">
        <v>0</v>
      </c>
      <c r="AM25" s="108">
        <v>50</v>
      </c>
      <c r="AN25" s="111">
        <v>96.15384615384616</v>
      </c>
      <c r="AO25" s="108">
        <v>52</v>
      </c>
    </row>
    <row r="26" spans="1:41" ht="15">
      <c r="A26" s="65" t="s">
        <v>1800</v>
      </c>
      <c r="B26" s="66" t="s">
        <v>1816</v>
      </c>
      <c r="C26" s="66" t="s">
        <v>59</v>
      </c>
      <c r="D26" s="14"/>
      <c r="E26" s="14"/>
      <c r="F26" s="15" t="s">
        <v>2843</v>
      </c>
      <c r="G26" s="64"/>
      <c r="H26" s="64"/>
      <c r="I26" s="78">
        <v>26</v>
      </c>
      <c r="J26" s="78"/>
      <c r="K26" s="49">
        <v>2</v>
      </c>
      <c r="L26" s="49">
        <v>2</v>
      </c>
      <c r="M26" s="49">
        <v>0</v>
      </c>
      <c r="N26" s="49">
        <v>2</v>
      </c>
      <c r="O26" s="49">
        <v>1</v>
      </c>
      <c r="P26" s="50">
        <v>0</v>
      </c>
      <c r="Q26" s="50">
        <v>0</v>
      </c>
      <c r="R26" s="49">
        <v>1</v>
      </c>
      <c r="S26" s="49">
        <v>0</v>
      </c>
      <c r="T26" s="49">
        <v>2</v>
      </c>
      <c r="U26" s="49">
        <v>2</v>
      </c>
      <c r="V26" s="49">
        <v>1</v>
      </c>
      <c r="W26" s="50">
        <v>0.5</v>
      </c>
      <c r="X26" s="50">
        <v>0.5</v>
      </c>
      <c r="Y26" s="79" t="s">
        <v>1893</v>
      </c>
      <c r="Z26" s="79" t="s">
        <v>530</v>
      </c>
      <c r="AA26" s="79"/>
      <c r="AB26" s="88" t="s">
        <v>2055</v>
      </c>
      <c r="AC26" s="88" t="s">
        <v>2168</v>
      </c>
      <c r="AD26" s="88"/>
      <c r="AE26" s="88"/>
      <c r="AF26" s="88" t="s">
        <v>2237</v>
      </c>
      <c r="AG26" s="108">
        <v>0</v>
      </c>
      <c r="AH26" s="111">
        <v>0</v>
      </c>
      <c r="AI26" s="108">
        <v>0</v>
      </c>
      <c r="AJ26" s="111">
        <v>0</v>
      </c>
      <c r="AK26" s="108">
        <v>0</v>
      </c>
      <c r="AL26" s="111">
        <v>0</v>
      </c>
      <c r="AM26" s="108">
        <v>8</v>
      </c>
      <c r="AN26" s="111">
        <v>100</v>
      </c>
      <c r="AO26" s="108">
        <v>8</v>
      </c>
    </row>
    <row r="27" spans="1:41" ht="15">
      <c r="A27" s="65" t="s">
        <v>1801</v>
      </c>
      <c r="B27" s="66" t="s">
        <v>1805</v>
      </c>
      <c r="C27" s="66" t="s">
        <v>61</v>
      </c>
      <c r="D27" s="14"/>
      <c r="E27" s="14"/>
      <c r="F27" s="15" t="s">
        <v>1801</v>
      </c>
      <c r="G27" s="64"/>
      <c r="H27" s="64"/>
      <c r="I27" s="78">
        <v>27</v>
      </c>
      <c r="J27" s="78"/>
      <c r="K27" s="49">
        <v>2</v>
      </c>
      <c r="L27" s="49">
        <v>1</v>
      </c>
      <c r="M27" s="49">
        <v>0</v>
      </c>
      <c r="N27" s="49">
        <v>1</v>
      </c>
      <c r="O27" s="49">
        <v>0</v>
      </c>
      <c r="P27" s="50">
        <v>0</v>
      </c>
      <c r="Q27" s="50">
        <v>0</v>
      </c>
      <c r="R27" s="49">
        <v>1</v>
      </c>
      <c r="S27" s="49">
        <v>0</v>
      </c>
      <c r="T27" s="49">
        <v>2</v>
      </c>
      <c r="U27" s="49">
        <v>1</v>
      </c>
      <c r="V27" s="49">
        <v>1</v>
      </c>
      <c r="W27" s="50">
        <v>0.5</v>
      </c>
      <c r="X27" s="50">
        <v>0.5</v>
      </c>
      <c r="Y27" s="79" t="s">
        <v>1894</v>
      </c>
      <c r="Z27" s="79" t="s">
        <v>514</v>
      </c>
      <c r="AA27" s="79"/>
      <c r="AB27" s="88" t="s">
        <v>952</v>
      </c>
      <c r="AC27" s="88" t="s">
        <v>952</v>
      </c>
      <c r="AD27" s="88"/>
      <c r="AE27" s="88" t="s">
        <v>374</v>
      </c>
      <c r="AF27" s="88" t="s">
        <v>2238</v>
      </c>
      <c r="AG27" s="108">
        <v>1</v>
      </c>
      <c r="AH27" s="111">
        <v>7.142857142857143</v>
      </c>
      <c r="AI27" s="108">
        <v>0</v>
      </c>
      <c r="AJ27" s="111">
        <v>0</v>
      </c>
      <c r="AK27" s="108">
        <v>0</v>
      </c>
      <c r="AL27" s="111">
        <v>0</v>
      </c>
      <c r="AM27" s="108">
        <v>13</v>
      </c>
      <c r="AN27" s="111">
        <v>92.85714285714286</v>
      </c>
      <c r="AO27" s="108">
        <v>14</v>
      </c>
    </row>
    <row r="28" spans="1:41" ht="15">
      <c r="A28" s="65" t="s">
        <v>1802</v>
      </c>
      <c r="B28" s="66" t="s">
        <v>1806</v>
      </c>
      <c r="C28" s="66" t="s">
        <v>61</v>
      </c>
      <c r="D28" s="14"/>
      <c r="E28" s="14"/>
      <c r="F28" s="15" t="s">
        <v>1802</v>
      </c>
      <c r="G28" s="64"/>
      <c r="H28" s="64"/>
      <c r="I28" s="78">
        <v>28</v>
      </c>
      <c r="J28" s="78"/>
      <c r="K28" s="49">
        <v>2</v>
      </c>
      <c r="L28" s="49">
        <v>1</v>
      </c>
      <c r="M28" s="49">
        <v>0</v>
      </c>
      <c r="N28" s="49">
        <v>1</v>
      </c>
      <c r="O28" s="49">
        <v>0</v>
      </c>
      <c r="P28" s="50">
        <v>0</v>
      </c>
      <c r="Q28" s="50">
        <v>0</v>
      </c>
      <c r="R28" s="49">
        <v>1</v>
      </c>
      <c r="S28" s="49">
        <v>0</v>
      </c>
      <c r="T28" s="49">
        <v>2</v>
      </c>
      <c r="U28" s="49">
        <v>1</v>
      </c>
      <c r="V28" s="49">
        <v>1</v>
      </c>
      <c r="W28" s="50">
        <v>0.5</v>
      </c>
      <c r="X28" s="50">
        <v>0.5</v>
      </c>
      <c r="Y28" s="79" t="s">
        <v>1895</v>
      </c>
      <c r="Z28" s="79" t="s">
        <v>518</v>
      </c>
      <c r="AA28" s="79" t="s">
        <v>548</v>
      </c>
      <c r="AB28" s="88" t="s">
        <v>952</v>
      </c>
      <c r="AC28" s="88" t="s">
        <v>952</v>
      </c>
      <c r="AD28" s="88"/>
      <c r="AE28" s="88" t="s">
        <v>370</v>
      </c>
      <c r="AF28" s="88" t="s">
        <v>2239</v>
      </c>
      <c r="AG28" s="108">
        <v>1</v>
      </c>
      <c r="AH28" s="111">
        <v>4.545454545454546</v>
      </c>
      <c r="AI28" s="108">
        <v>0</v>
      </c>
      <c r="AJ28" s="111">
        <v>0</v>
      </c>
      <c r="AK28" s="108">
        <v>0</v>
      </c>
      <c r="AL28" s="111">
        <v>0</v>
      </c>
      <c r="AM28" s="108">
        <v>21</v>
      </c>
      <c r="AN28" s="111">
        <v>95.45454545454545</v>
      </c>
      <c r="AO28" s="108">
        <v>22</v>
      </c>
    </row>
    <row r="29" spans="1:41" ht="15">
      <c r="A29" s="65" t="s">
        <v>1803</v>
      </c>
      <c r="B29" s="66" t="s">
        <v>1807</v>
      </c>
      <c r="C29" s="66" t="s">
        <v>61</v>
      </c>
      <c r="D29" s="14"/>
      <c r="E29" s="14"/>
      <c r="F29" s="15" t="s">
        <v>2844</v>
      </c>
      <c r="G29" s="64"/>
      <c r="H29" s="64"/>
      <c r="I29" s="78">
        <v>29</v>
      </c>
      <c r="J29" s="78"/>
      <c r="K29" s="49">
        <v>2</v>
      </c>
      <c r="L29" s="49">
        <v>1</v>
      </c>
      <c r="M29" s="49">
        <v>0</v>
      </c>
      <c r="N29" s="49">
        <v>1</v>
      </c>
      <c r="O29" s="49">
        <v>0</v>
      </c>
      <c r="P29" s="50">
        <v>0</v>
      </c>
      <c r="Q29" s="50">
        <v>0</v>
      </c>
      <c r="R29" s="49">
        <v>1</v>
      </c>
      <c r="S29" s="49">
        <v>0</v>
      </c>
      <c r="T29" s="49">
        <v>2</v>
      </c>
      <c r="U29" s="49">
        <v>1</v>
      </c>
      <c r="V29" s="49">
        <v>1</v>
      </c>
      <c r="W29" s="50">
        <v>0.5</v>
      </c>
      <c r="X29" s="50">
        <v>0.5</v>
      </c>
      <c r="Y29" s="79" t="s">
        <v>1896</v>
      </c>
      <c r="Z29" s="79" t="s">
        <v>517</v>
      </c>
      <c r="AA29" s="79"/>
      <c r="AB29" s="88" t="s">
        <v>2056</v>
      </c>
      <c r="AC29" s="88" t="s">
        <v>2169</v>
      </c>
      <c r="AD29" s="88" t="s">
        <v>369</v>
      </c>
      <c r="AE29" s="88"/>
      <c r="AF29" s="88" t="s">
        <v>2240</v>
      </c>
      <c r="AG29" s="108">
        <v>0</v>
      </c>
      <c r="AH29" s="111">
        <v>0</v>
      </c>
      <c r="AI29" s="108">
        <v>0</v>
      </c>
      <c r="AJ29" s="111">
        <v>0</v>
      </c>
      <c r="AK29" s="108">
        <v>0</v>
      </c>
      <c r="AL29" s="111">
        <v>0</v>
      </c>
      <c r="AM29" s="108">
        <v>36</v>
      </c>
      <c r="AN29" s="111">
        <v>100</v>
      </c>
      <c r="AO29" s="108">
        <v>36</v>
      </c>
    </row>
    <row r="30" spans="1:41" ht="15">
      <c r="A30" s="65" t="s">
        <v>1804</v>
      </c>
      <c r="B30" s="66" t="s">
        <v>1808</v>
      </c>
      <c r="C30" s="66" t="s">
        <v>61</v>
      </c>
      <c r="D30" s="14"/>
      <c r="E30" s="14"/>
      <c r="F30" s="15" t="s">
        <v>2845</v>
      </c>
      <c r="G30" s="64"/>
      <c r="H30" s="64"/>
      <c r="I30" s="78">
        <v>30</v>
      </c>
      <c r="J30" s="78"/>
      <c r="K30" s="49">
        <v>2</v>
      </c>
      <c r="L30" s="49">
        <v>1</v>
      </c>
      <c r="M30" s="49">
        <v>0</v>
      </c>
      <c r="N30" s="49">
        <v>1</v>
      </c>
      <c r="O30" s="49">
        <v>0</v>
      </c>
      <c r="P30" s="50">
        <v>0</v>
      </c>
      <c r="Q30" s="50">
        <v>0</v>
      </c>
      <c r="R30" s="49">
        <v>1</v>
      </c>
      <c r="S30" s="49">
        <v>0</v>
      </c>
      <c r="T30" s="49">
        <v>2</v>
      </c>
      <c r="U30" s="49">
        <v>1</v>
      </c>
      <c r="V30" s="49">
        <v>1</v>
      </c>
      <c r="W30" s="50">
        <v>0.5</v>
      </c>
      <c r="X30" s="50">
        <v>0.5</v>
      </c>
      <c r="Y30" s="79" t="s">
        <v>1897</v>
      </c>
      <c r="Z30" s="79" t="s">
        <v>512</v>
      </c>
      <c r="AA30" s="79"/>
      <c r="AB30" s="88" t="s">
        <v>2057</v>
      </c>
      <c r="AC30" s="88" t="s">
        <v>952</v>
      </c>
      <c r="AD30" s="88" t="s">
        <v>368</v>
      </c>
      <c r="AE30" s="88"/>
      <c r="AF30" s="88" t="s">
        <v>2241</v>
      </c>
      <c r="AG30" s="108">
        <v>0</v>
      </c>
      <c r="AH30" s="111">
        <v>0</v>
      </c>
      <c r="AI30" s="108">
        <v>0</v>
      </c>
      <c r="AJ30" s="111">
        <v>0</v>
      </c>
      <c r="AK30" s="108">
        <v>0</v>
      </c>
      <c r="AL30" s="111">
        <v>0</v>
      </c>
      <c r="AM30" s="108">
        <v>31</v>
      </c>
      <c r="AN30" s="111">
        <v>100</v>
      </c>
      <c r="AO30" s="108">
        <v>31</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1777</v>
      </c>
      <c r="B2" s="88" t="s">
        <v>342</v>
      </c>
      <c r="C2" s="79">
        <f>VLOOKUP(GroupVertices[[#This Row],[Vertex]],Vertices[],MATCH("ID",Vertices[[#Headers],[Vertex]:[Vertex Content Word Count]],0),FALSE)</f>
        <v>49</v>
      </c>
    </row>
    <row r="3" spans="1:3" ht="15">
      <c r="A3" s="80" t="s">
        <v>1777</v>
      </c>
      <c r="B3" s="88" t="s">
        <v>341</v>
      </c>
      <c r="C3" s="79">
        <f>VLOOKUP(GroupVertices[[#This Row],[Vertex]],Vertices[],MATCH("ID",Vertices[[#Headers],[Vertex]:[Vertex Content Word Count]],0),FALSE)</f>
        <v>112</v>
      </c>
    </row>
    <row r="4" spans="1:3" ht="15">
      <c r="A4" s="80" t="s">
        <v>1777</v>
      </c>
      <c r="B4" s="88" t="s">
        <v>396</v>
      </c>
      <c r="C4" s="79">
        <f>VLOOKUP(GroupVertices[[#This Row],[Vertex]],Vertices[],MATCH("ID",Vertices[[#Headers],[Vertex]:[Vertex Content Word Count]],0),FALSE)</f>
        <v>146</v>
      </c>
    </row>
    <row r="5" spans="1:3" ht="15">
      <c r="A5" s="80" t="s">
        <v>1777</v>
      </c>
      <c r="B5" s="88" t="s">
        <v>335</v>
      </c>
      <c r="C5" s="79">
        <f>VLOOKUP(GroupVertices[[#This Row],[Vertex]],Vertices[],MATCH("ID",Vertices[[#Headers],[Vertex]:[Vertex Content Word Count]],0),FALSE)</f>
        <v>140</v>
      </c>
    </row>
    <row r="6" spans="1:3" ht="15">
      <c r="A6" s="80" t="s">
        <v>1777</v>
      </c>
      <c r="B6" s="88" t="s">
        <v>378</v>
      </c>
      <c r="C6" s="79">
        <f>VLOOKUP(GroupVertices[[#This Row],[Vertex]],Vertices[],MATCH("ID",Vertices[[#Headers],[Vertex]:[Vertex Content Word Count]],0),FALSE)</f>
        <v>46</v>
      </c>
    </row>
    <row r="7" spans="1:3" ht="15">
      <c r="A7" s="80" t="s">
        <v>1777</v>
      </c>
      <c r="B7" s="88" t="s">
        <v>331</v>
      </c>
      <c r="C7" s="79">
        <f>VLOOKUP(GroupVertices[[#This Row],[Vertex]],Vertices[],MATCH("ID",Vertices[[#Headers],[Vertex]:[Vertex Content Word Count]],0),FALSE)</f>
        <v>45</v>
      </c>
    </row>
    <row r="8" spans="1:3" ht="15">
      <c r="A8" s="80" t="s">
        <v>1777</v>
      </c>
      <c r="B8" s="88" t="s">
        <v>377</v>
      </c>
      <c r="C8" s="79">
        <f>VLOOKUP(GroupVertices[[#This Row],[Vertex]],Vertices[],MATCH("ID",Vertices[[#Headers],[Vertex]:[Vertex Content Word Count]],0),FALSE)</f>
        <v>44</v>
      </c>
    </row>
    <row r="9" spans="1:3" ht="15">
      <c r="A9" s="80" t="s">
        <v>1777</v>
      </c>
      <c r="B9" s="88" t="s">
        <v>334</v>
      </c>
      <c r="C9" s="79">
        <f>VLOOKUP(GroupVertices[[#This Row],[Vertex]],Vertices[],MATCH("ID",Vertices[[#Headers],[Vertex]:[Vertex Content Word Count]],0),FALSE)</f>
        <v>139</v>
      </c>
    </row>
    <row r="10" spans="1:3" ht="15">
      <c r="A10" s="80" t="s">
        <v>1777</v>
      </c>
      <c r="B10" s="88" t="s">
        <v>333</v>
      </c>
      <c r="C10" s="79">
        <f>VLOOKUP(GroupVertices[[#This Row],[Vertex]],Vertices[],MATCH("ID",Vertices[[#Headers],[Vertex]:[Vertex Content Word Count]],0),FALSE)</f>
        <v>138</v>
      </c>
    </row>
    <row r="11" spans="1:3" ht="15">
      <c r="A11" s="80" t="s">
        <v>1777</v>
      </c>
      <c r="B11" s="88" t="s">
        <v>332</v>
      </c>
      <c r="C11" s="79">
        <f>VLOOKUP(GroupVertices[[#This Row],[Vertex]],Vertices[],MATCH("ID",Vertices[[#Headers],[Vertex]:[Vertex Content Word Count]],0),FALSE)</f>
        <v>47</v>
      </c>
    </row>
    <row r="12" spans="1:3" ht="15">
      <c r="A12" s="80" t="s">
        <v>1777</v>
      </c>
      <c r="B12" s="88" t="s">
        <v>330</v>
      </c>
      <c r="C12" s="79">
        <f>VLOOKUP(GroupVertices[[#This Row],[Vertex]],Vertices[],MATCH("ID",Vertices[[#Headers],[Vertex]:[Vertex Content Word Count]],0),FALSE)</f>
        <v>137</v>
      </c>
    </row>
    <row r="13" spans="1:3" ht="15">
      <c r="A13" s="80" t="s">
        <v>1777</v>
      </c>
      <c r="B13" s="88" t="s">
        <v>327</v>
      </c>
      <c r="C13" s="79">
        <f>VLOOKUP(GroupVertices[[#This Row],[Vertex]],Vertices[],MATCH("ID",Vertices[[#Headers],[Vertex]:[Vertex Content Word Count]],0),FALSE)</f>
        <v>134</v>
      </c>
    </row>
    <row r="14" spans="1:3" ht="15">
      <c r="A14" s="80" t="s">
        <v>1777</v>
      </c>
      <c r="B14" s="88" t="s">
        <v>326</v>
      </c>
      <c r="C14" s="79">
        <f>VLOOKUP(GroupVertices[[#This Row],[Vertex]],Vertices[],MATCH("ID",Vertices[[#Headers],[Vertex]:[Vertex Content Word Count]],0),FALSE)</f>
        <v>133</v>
      </c>
    </row>
    <row r="15" spans="1:3" ht="15">
      <c r="A15" s="80" t="s">
        <v>1777</v>
      </c>
      <c r="B15" s="88" t="s">
        <v>325</v>
      </c>
      <c r="C15" s="79">
        <f>VLOOKUP(GroupVertices[[#This Row],[Vertex]],Vertices[],MATCH("ID",Vertices[[#Headers],[Vertex]:[Vertex Content Word Count]],0),FALSE)</f>
        <v>132</v>
      </c>
    </row>
    <row r="16" spans="1:3" ht="15">
      <c r="A16" s="80" t="s">
        <v>1777</v>
      </c>
      <c r="B16" s="88" t="s">
        <v>324</v>
      </c>
      <c r="C16" s="79">
        <f>VLOOKUP(GroupVertices[[#This Row],[Vertex]],Vertices[],MATCH("ID",Vertices[[#Headers],[Vertex]:[Vertex Content Word Count]],0),FALSE)</f>
        <v>131</v>
      </c>
    </row>
    <row r="17" spans="1:3" ht="15">
      <c r="A17" s="80" t="s">
        <v>1777</v>
      </c>
      <c r="B17" s="88" t="s">
        <v>323</v>
      </c>
      <c r="C17" s="79">
        <f>VLOOKUP(GroupVertices[[#This Row],[Vertex]],Vertices[],MATCH("ID",Vertices[[#Headers],[Vertex]:[Vertex Content Word Count]],0),FALSE)</f>
        <v>130</v>
      </c>
    </row>
    <row r="18" spans="1:3" ht="15">
      <c r="A18" s="80" t="s">
        <v>1777</v>
      </c>
      <c r="B18" s="88" t="s">
        <v>322</v>
      </c>
      <c r="C18" s="79">
        <f>VLOOKUP(GroupVertices[[#This Row],[Vertex]],Vertices[],MATCH("ID",Vertices[[#Headers],[Vertex]:[Vertex Content Word Count]],0),FALSE)</f>
        <v>129</v>
      </c>
    </row>
    <row r="19" spans="1:3" ht="15">
      <c r="A19" s="80" t="s">
        <v>1777</v>
      </c>
      <c r="B19" s="88" t="s">
        <v>321</v>
      </c>
      <c r="C19" s="79">
        <f>VLOOKUP(GroupVertices[[#This Row],[Vertex]],Vertices[],MATCH("ID",Vertices[[#Headers],[Vertex]:[Vertex Content Word Count]],0),FALSE)</f>
        <v>128</v>
      </c>
    </row>
    <row r="20" spans="1:3" ht="15">
      <c r="A20" s="80" t="s">
        <v>1777</v>
      </c>
      <c r="B20" s="88" t="s">
        <v>306</v>
      </c>
      <c r="C20" s="79">
        <f>VLOOKUP(GroupVertices[[#This Row],[Vertex]],Vertices[],MATCH("ID",Vertices[[#Headers],[Vertex]:[Vertex Content Word Count]],0),FALSE)</f>
        <v>111</v>
      </c>
    </row>
    <row r="21" spans="1:3" ht="15">
      <c r="A21" s="80" t="s">
        <v>1777</v>
      </c>
      <c r="B21" s="88" t="s">
        <v>302</v>
      </c>
      <c r="C21" s="79">
        <f>VLOOKUP(GroupVertices[[#This Row],[Vertex]],Vertices[],MATCH("ID",Vertices[[#Headers],[Vertex]:[Vertex Content Word Count]],0),FALSE)</f>
        <v>104</v>
      </c>
    </row>
    <row r="22" spans="1:3" ht="15">
      <c r="A22" s="80" t="s">
        <v>1777</v>
      </c>
      <c r="B22" s="88" t="s">
        <v>301</v>
      </c>
      <c r="C22" s="79">
        <f>VLOOKUP(GroupVertices[[#This Row],[Vertex]],Vertices[],MATCH("ID",Vertices[[#Headers],[Vertex]:[Vertex Content Word Count]],0),FALSE)</f>
        <v>103</v>
      </c>
    </row>
    <row r="23" spans="1:3" ht="15">
      <c r="A23" s="80" t="s">
        <v>1777</v>
      </c>
      <c r="B23" s="88" t="s">
        <v>300</v>
      </c>
      <c r="C23" s="79">
        <f>VLOOKUP(GroupVertices[[#This Row],[Vertex]],Vertices[],MATCH("ID",Vertices[[#Headers],[Vertex]:[Vertex Content Word Count]],0),FALSE)</f>
        <v>102</v>
      </c>
    </row>
    <row r="24" spans="1:3" ht="15">
      <c r="A24" s="80" t="s">
        <v>1777</v>
      </c>
      <c r="B24" s="88" t="s">
        <v>299</v>
      </c>
      <c r="C24" s="79">
        <f>VLOOKUP(GroupVertices[[#This Row],[Vertex]],Vertices[],MATCH("ID",Vertices[[#Headers],[Vertex]:[Vertex Content Word Count]],0),FALSE)</f>
        <v>101</v>
      </c>
    </row>
    <row r="25" spans="1:3" ht="15">
      <c r="A25" s="80" t="s">
        <v>1777</v>
      </c>
      <c r="B25" s="88" t="s">
        <v>297</v>
      </c>
      <c r="C25" s="79">
        <f>VLOOKUP(GroupVertices[[#This Row],[Vertex]],Vertices[],MATCH("ID",Vertices[[#Headers],[Vertex]:[Vertex Content Word Count]],0),FALSE)</f>
        <v>99</v>
      </c>
    </row>
    <row r="26" spans="1:3" ht="15">
      <c r="A26" s="80" t="s">
        <v>1777</v>
      </c>
      <c r="B26" s="88" t="s">
        <v>296</v>
      </c>
      <c r="C26" s="79">
        <f>VLOOKUP(GroupVertices[[#This Row],[Vertex]],Vertices[],MATCH("ID",Vertices[[#Headers],[Vertex]:[Vertex Content Word Count]],0),FALSE)</f>
        <v>98</v>
      </c>
    </row>
    <row r="27" spans="1:3" ht="15">
      <c r="A27" s="80" t="s">
        <v>1777</v>
      </c>
      <c r="B27" s="88" t="s">
        <v>295</v>
      </c>
      <c r="C27" s="79">
        <f>VLOOKUP(GroupVertices[[#This Row],[Vertex]],Vertices[],MATCH("ID",Vertices[[#Headers],[Vertex]:[Vertex Content Word Count]],0),FALSE)</f>
        <v>97</v>
      </c>
    </row>
    <row r="28" spans="1:3" ht="15">
      <c r="A28" s="80" t="s">
        <v>1777</v>
      </c>
      <c r="B28" s="88" t="s">
        <v>294</v>
      </c>
      <c r="C28" s="79">
        <f>VLOOKUP(GroupVertices[[#This Row],[Vertex]],Vertices[],MATCH("ID",Vertices[[#Headers],[Vertex]:[Vertex Content Word Count]],0),FALSE)</f>
        <v>96</v>
      </c>
    </row>
    <row r="29" spans="1:3" ht="15">
      <c r="A29" s="80" t="s">
        <v>1777</v>
      </c>
      <c r="B29" s="88" t="s">
        <v>272</v>
      </c>
      <c r="C29" s="79">
        <f>VLOOKUP(GroupVertices[[#This Row],[Vertex]],Vertices[],MATCH("ID",Vertices[[#Headers],[Vertex]:[Vertex Content Word Count]],0),FALSE)</f>
        <v>60</v>
      </c>
    </row>
    <row r="30" spans="1:3" ht="15">
      <c r="A30" s="80" t="s">
        <v>1777</v>
      </c>
      <c r="B30" s="88" t="s">
        <v>268</v>
      </c>
      <c r="C30" s="79">
        <f>VLOOKUP(GroupVertices[[#This Row],[Vertex]],Vertices[],MATCH("ID",Vertices[[#Headers],[Vertex]:[Vertex Content Word Count]],0),FALSE)</f>
        <v>56</v>
      </c>
    </row>
    <row r="31" spans="1:3" ht="15">
      <c r="A31" s="80" t="s">
        <v>1777</v>
      </c>
      <c r="B31" s="88" t="s">
        <v>266</v>
      </c>
      <c r="C31" s="79">
        <f>VLOOKUP(GroupVertices[[#This Row],[Vertex]],Vertices[],MATCH("ID",Vertices[[#Headers],[Vertex]:[Vertex Content Word Count]],0),FALSE)</f>
        <v>53</v>
      </c>
    </row>
    <row r="32" spans="1:3" ht="15">
      <c r="A32" s="80" t="s">
        <v>1777</v>
      </c>
      <c r="B32" s="88" t="s">
        <v>265</v>
      </c>
      <c r="C32" s="79">
        <f>VLOOKUP(GroupVertices[[#This Row],[Vertex]],Vertices[],MATCH("ID",Vertices[[#Headers],[Vertex]:[Vertex Content Word Count]],0),FALSE)</f>
        <v>52</v>
      </c>
    </row>
    <row r="33" spans="1:3" ht="15">
      <c r="A33" s="80" t="s">
        <v>1777</v>
      </c>
      <c r="B33" s="88" t="s">
        <v>264</v>
      </c>
      <c r="C33" s="79">
        <f>VLOOKUP(GroupVertices[[#This Row],[Vertex]],Vertices[],MATCH("ID",Vertices[[#Headers],[Vertex]:[Vertex Content Word Count]],0),FALSE)</f>
        <v>51</v>
      </c>
    </row>
    <row r="34" spans="1:3" ht="15">
      <c r="A34" s="80" t="s">
        <v>1777</v>
      </c>
      <c r="B34" s="88" t="s">
        <v>263</v>
      </c>
      <c r="C34" s="79">
        <f>VLOOKUP(GroupVertices[[#This Row],[Vertex]],Vertices[],MATCH("ID",Vertices[[#Headers],[Vertex]:[Vertex Content Word Count]],0),FALSE)</f>
        <v>50</v>
      </c>
    </row>
    <row r="35" spans="1:3" ht="15">
      <c r="A35" s="80" t="s">
        <v>1777</v>
      </c>
      <c r="B35" s="88" t="s">
        <v>262</v>
      </c>
      <c r="C35" s="79">
        <f>VLOOKUP(GroupVertices[[#This Row],[Vertex]],Vertices[],MATCH("ID",Vertices[[#Headers],[Vertex]:[Vertex Content Word Count]],0),FALSE)</f>
        <v>48</v>
      </c>
    </row>
    <row r="36" spans="1:3" ht="15">
      <c r="A36" s="80" t="s">
        <v>1777</v>
      </c>
      <c r="B36" s="88" t="s">
        <v>261</v>
      </c>
      <c r="C36" s="79">
        <f>VLOOKUP(GroupVertices[[#This Row],[Vertex]],Vertices[],MATCH("ID",Vertices[[#Headers],[Vertex]:[Vertex Content Word Count]],0),FALSE)</f>
        <v>43</v>
      </c>
    </row>
    <row r="37" spans="1:3" ht="15">
      <c r="A37" s="80" t="s">
        <v>1778</v>
      </c>
      <c r="B37" s="88" t="s">
        <v>366</v>
      </c>
      <c r="C37" s="79">
        <f>VLOOKUP(GroupVertices[[#This Row],[Vertex]],Vertices[],MATCH("ID",Vertices[[#Headers],[Vertex]:[Vertex Content Word Count]],0),FALSE)</f>
        <v>3</v>
      </c>
    </row>
    <row r="38" spans="1:3" ht="15">
      <c r="A38" s="80" t="s">
        <v>1778</v>
      </c>
      <c r="B38" s="88" t="s">
        <v>240</v>
      </c>
      <c r="C38" s="79">
        <f>VLOOKUP(GroupVertices[[#This Row],[Vertex]],Vertices[],MATCH("ID",Vertices[[#Headers],[Vertex]:[Vertex Content Word Count]],0),FALSE)</f>
        <v>13</v>
      </c>
    </row>
    <row r="39" spans="1:3" ht="15">
      <c r="A39" s="80" t="s">
        <v>1778</v>
      </c>
      <c r="B39" s="88" t="s">
        <v>241</v>
      </c>
      <c r="C39" s="79">
        <f>VLOOKUP(GroupVertices[[#This Row],[Vertex]],Vertices[],MATCH("ID",Vertices[[#Headers],[Vertex]:[Vertex Content Word Count]],0),FALSE)</f>
        <v>14</v>
      </c>
    </row>
    <row r="40" spans="1:3" ht="15">
      <c r="A40" s="80" t="s">
        <v>1778</v>
      </c>
      <c r="B40" s="88" t="s">
        <v>242</v>
      </c>
      <c r="C40" s="79">
        <f>VLOOKUP(GroupVertices[[#This Row],[Vertex]],Vertices[],MATCH("ID",Vertices[[#Headers],[Vertex]:[Vertex Content Word Count]],0),FALSE)</f>
        <v>15</v>
      </c>
    </row>
    <row r="41" spans="1:3" ht="15">
      <c r="A41" s="80" t="s">
        <v>1778</v>
      </c>
      <c r="B41" s="88" t="s">
        <v>245</v>
      </c>
      <c r="C41" s="79">
        <f>VLOOKUP(GroupVertices[[#This Row],[Vertex]],Vertices[],MATCH("ID",Vertices[[#Headers],[Vertex]:[Vertex Content Word Count]],0),FALSE)</f>
        <v>20</v>
      </c>
    </row>
    <row r="42" spans="1:3" ht="15">
      <c r="A42" s="80" t="s">
        <v>1778</v>
      </c>
      <c r="B42" s="88" t="s">
        <v>248</v>
      </c>
      <c r="C42" s="79">
        <f>VLOOKUP(GroupVertices[[#This Row],[Vertex]],Vertices[],MATCH("ID",Vertices[[#Headers],[Vertex]:[Vertex Content Word Count]],0),FALSE)</f>
        <v>24</v>
      </c>
    </row>
    <row r="43" spans="1:3" ht="15">
      <c r="A43" s="80" t="s">
        <v>1778</v>
      </c>
      <c r="B43" s="88" t="s">
        <v>251</v>
      </c>
      <c r="C43" s="79">
        <f>VLOOKUP(GroupVertices[[#This Row],[Vertex]],Vertices[],MATCH("ID",Vertices[[#Headers],[Vertex]:[Vertex Content Word Count]],0),FALSE)</f>
        <v>30</v>
      </c>
    </row>
    <row r="44" spans="1:3" ht="15">
      <c r="A44" s="80" t="s">
        <v>1778</v>
      </c>
      <c r="B44" s="88" t="s">
        <v>260</v>
      </c>
      <c r="C44" s="79">
        <f>VLOOKUP(GroupVertices[[#This Row],[Vertex]],Vertices[],MATCH("ID",Vertices[[#Headers],[Vertex]:[Vertex Content Word Count]],0),FALSE)</f>
        <v>42</v>
      </c>
    </row>
    <row r="45" spans="1:3" ht="15">
      <c r="A45" s="80" t="s">
        <v>1778</v>
      </c>
      <c r="B45" s="88" t="s">
        <v>271</v>
      </c>
      <c r="C45" s="79">
        <f>VLOOKUP(GroupVertices[[#This Row],[Vertex]],Vertices[],MATCH("ID",Vertices[[#Headers],[Vertex]:[Vertex Content Word Count]],0),FALSE)</f>
        <v>59</v>
      </c>
    </row>
    <row r="46" spans="1:3" ht="15">
      <c r="A46" s="80" t="s">
        <v>1778</v>
      </c>
      <c r="B46" s="88" t="s">
        <v>275</v>
      </c>
      <c r="C46" s="79">
        <f>VLOOKUP(GroupVertices[[#This Row],[Vertex]],Vertices[],MATCH("ID",Vertices[[#Headers],[Vertex]:[Vertex Content Word Count]],0),FALSE)</f>
        <v>64</v>
      </c>
    </row>
    <row r="47" spans="1:3" ht="15">
      <c r="A47" s="80" t="s">
        <v>1778</v>
      </c>
      <c r="B47" s="88" t="s">
        <v>277</v>
      </c>
      <c r="C47" s="79">
        <f>VLOOKUP(GroupVertices[[#This Row],[Vertex]],Vertices[],MATCH("ID",Vertices[[#Headers],[Vertex]:[Vertex Content Word Count]],0),FALSE)</f>
        <v>69</v>
      </c>
    </row>
    <row r="48" spans="1:3" ht="15">
      <c r="A48" s="80" t="s">
        <v>1778</v>
      </c>
      <c r="B48" s="88" t="s">
        <v>284</v>
      </c>
      <c r="C48" s="79">
        <f>VLOOKUP(GroupVertices[[#This Row],[Vertex]],Vertices[],MATCH("ID",Vertices[[#Headers],[Vertex]:[Vertex Content Word Count]],0),FALSE)</f>
        <v>77</v>
      </c>
    </row>
    <row r="49" spans="1:3" ht="15">
      <c r="A49" s="80" t="s">
        <v>1778</v>
      </c>
      <c r="B49" s="88" t="s">
        <v>285</v>
      </c>
      <c r="C49" s="79">
        <f>VLOOKUP(GroupVertices[[#This Row],[Vertex]],Vertices[],MATCH("ID",Vertices[[#Headers],[Vertex]:[Vertex Content Word Count]],0),FALSE)</f>
        <v>78</v>
      </c>
    </row>
    <row r="50" spans="1:3" ht="15">
      <c r="A50" s="80" t="s">
        <v>1778</v>
      </c>
      <c r="B50" s="88" t="s">
        <v>290</v>
      </c>
      <c r="C50" s="79">
        <f>VLOOKUP(GroupVertices[[#This Row],[Vertex]],Vertices[],MATCH("ID",Vertices[[#Headers],[Vertex]:[Vertex Content Word Count]],0),FALSE)</f>
        <v>84</v>
      </c>
    </row>
    <row r="51" spans="1:3" ht="15">
      <c r="A51" s="80" t="s">
        <v>1778</v>
      </c>
      <c r="B51" s="88" t="s">
        <v>303</v>
      </c>
      <c r="C51" s="79">
        <f>VLOOKUP(GroupVertices[[#This Row],[Vertex]],Vertices[],MATCH("ID",Vertices[[#Headers],[Vertex]:[Vertex Content Word Count]],0),FALSE)</f>
        <v>105</v>
      </c>
    </row>
    <row r="52" spans="1:3" ht="15">
      <c r="A52" s="80" t="s">
        <v>1778</v>
      </c>
      <c r="B52" s="88" t="s">
        <v>313</v>
      </c>
      <c r="C52" s="79">
        <f>VLOOKUP(GroupVertices[[#This Row],[Vertex]],Vertices[],MATCH("ID",Vertices[[#Headers],[Vertex]:[Vertex Content Word Count]],0),FALSE)</f>
        <v>121</v>
      </c>
    </row>
    <row r="53" spans="1:3" ht="15">
      <c r="A53" s="80" t="s">
        <v>1778</v>
      </c>
      <c r="B53" s="88" t="s">
        <v>315</v>
      </c>
      <c r="C53" s="79">
        <f>VLOOKUP(GroupVertices[[#This Row],[Vertex]],Vertices[],MATCH("ID",Vertices[[#Headers],[Vertex]:[Vertex Content Word Count]],0),FALSE)</f>
        <v>122</v>
      </c>
    </row>
    <row r="54" spans="1:3" ht="15">
      <c r="A54" s="80" t="s">
        <v>1778</v>
      </c>
      <c r="B54" s="88" t="s">
        <v>337</v>
      </c>
      <c r="C54" s="79">
        <f>VLOOKUP(GroupVertices[[#This Row],[Vertex]],Vertices[],MATCH("ID",Vertices[[#Headers],[Vertex]:[Vertex Content Word Count]],0),FALSE)</f>
        <v>142</v>
      </c>
    </row>
    <row r="55" spans="1:3" ht="15">
      <c r="A55" s="80" t="s">
        <v>1778</v>
      </c>
      <c r="B55" s="88" t="s">
        <v>338</v>
      </c>
      <c r="C55" s="79">
        <f>VLOOKUP(GroupVertices[[#This Row],[Vertex]],Vertices[],MATCH("ID",Vertices[[#Headers],[Vertex]:[Vertex Content Word Count]],0),FALSE)</f>
        <v>143</v>
      </c>
    </row>
    <row r="56" spans="1:3" ht="15">
      <c r="A56" s="80" t="s">
        <v>1778</v>
      </c>
      <c r="B56" s="88" t="s">
        <v>339</v>
      </c>
      <c r="C56" s="79">
        <f>VLOOKUP(GroupVertices[[#This Row],[Vertex]],Vertices[],MATCH("ID",Vertices[[#Headers],[Vertex]:[Vertex Content Word Count]],0),FALSE)</f>
        <v>144</v>
      </c>
    </row>
    <row r="57" spans="1:3" ht="15">
      <c r="A57" s="80" t="s">
        <v>1778</v>
      </c>
      <c r="B57" s="88" t="s">
        <v>340</v>
      </c>
      <c r="C57" s="79">
        <f>VLOOKUP(GroupVertices[[#This Row],[Vertex]],Vertices[],MATCH("ID",Vertices[[#Headers],[Vertex]:[Vertex Content Word Count]],0),FALSE)</f>
        <v>145</v>
      </c>
    </row>
    <row r="58" spans="1:3" ht="15">
      <c r="A58" s="80" t="s">
        <v>1778</v>
      </c>
      <c r="B58" s="88" t="s">
        <v>343</v>
      </c>
      <c r="C58" s="79">
        <f>VLOOKUP(GroupVertices[[#This Row],[Vertex]],Vertices[],MATCH("ID",Vertices[[#Headers],[Vertex]:[Vertex Content Word Count]],0),FALSE)</f>
        <v>147</v>
      </c>
    </row>
    <row r="59" spans="1:3" ht="15">
      <c r="A59" s="80" t="s">
        <v>1778</v>
      </c>
      <c r="B59" s="88" t="s">
        <v>354</v>
      </c>
      <c r="C59" s="79">
        <f>VLOOKUP(GroupVertices[[#This Row],[Vertex]],Vertices[],MATCH("ID",Vertices[[#Headers],[Vertex]:[Vertex Content Word Count]],0),FALSE)</f>
        <v>163</v>
      </c>
    </row>
    <row r="60" spans="1:3" ht="15">
      <c r="A60" s="80" t="s">
        <v>1779</v>
      </c>
      <c r="B60" s="88" t="s">
        <v>347</v>
      </c>
      <c r="C60" s="79">
        <f>VLOOKUP(GroupVertices[[#This Row],[Vertex]],Vertices[],MATCH("ID",Vertices[[#Headers],[Vertex]:[Vertex Content Word Count]],0),FALSE)</f>
        <v>155</v>
      </c>
    </row>
    <row r="61" spans="1:3" ht="15">
      <c r="A61" s="80" t="s">
        <v>1779</v>
      </c>
      <c r="B61" s="88" t="s">
        <v>402</v>
      </c>
      <c r="C61" s="79">
        <f>VLOOKUP(GroupVertices[[#This Row],[Vertex]],Vertices[],MATCH("ID",Vertices[[#Headers],[Vertex]:[Vertex Content Word Count]],0),FALSE)</f>
        <v>161</v>
      </c>
    </row>
    <row r="62" spans="1:3" ht="15">
      <c r="A62" s="80" t="s">
        <v>1779</v>
      </c>
      <c r="B62" s="88" t="s">
        <v>352</v>
      </c>
      <c r="C62" s="79">
        <f>VLOOKUP(GroupVertices[[#This Row],[Vertex]],Vertices[],MATCH("ID",Vertices[[#Headers],[Vertex]:[Vertex Content Word Count]],0),FALSE)</f>
        <v>160</v>
      </c>
    </row>
    <row r="63" spans="1:3" ht="15">
      <c r="A63" s="80" t="s">
        <v>1779</v>
      </c>
      <c r="B63" s="88" t="s">
        <v>351</v>
      </c>
      <c r="C63" s="79">
        <f>VLOOKUP(GroupVertices[[#This Row],[Vertex]],Vertices[],MATCH("ID",Vertices[[#Headers],[Vertex]:[Vertex Content Word Count]],0),FALSE)</f>
        <v>159</v>
      </c>
    </row>
    <row r="64" spans="1:3" ht="15">
      <c r="A64" s="80" t="s">
        <v>1779</v>
      </c>
      <c r="B64" s="88" t="s">
        <v>349</v>
      </c>
      <c r="C64" s="79">
        <f>VLOOKUP(GroupVertices[[#This Row],[Vertex]],Vertices[],MATCH("ID",Vertices[[#Headers],[Vertex]:[Vertex Content Word Count]],0),FALSE)</f>
        <v>158</v>
      </c>
    </row>
    <row r="65" spans="1:3" ht="15">
      <c r="A65" s="80" t="s">
        <v>1779</v>
      </c>
      <c r="B65" s="88" t="s">
        <v>329</v>
      </c>
      <c r="C65" s="79">
        <f>VLOOKUP(GroupVertices[[#This Row],[Vertex]],Vertices[],MATCH("ID",Vertices[[#Headers],[Vertex]:[Vertex Content Word Count]],0),FALSE)</f>
        <v>135</v>
      </c>
    </row>
    <row r="66" spans="1:3" ht="15">
      <c r="A66" s="80" t="s">
        <v>1779</v>
      </c>
      <c r="B66" s="88" t="s">
        <v>401</v>
      </c>
      <c r="C66" s="79">
        <f>VLOOKUP(GroupVertices[[#This Row],[Vertex]],Vertices[],MATCH("ID",Vertices[[#Headers],[Vertex]:[Vertex Content Word Count]],0),FALSE)</f>
        <v>157</v>
      </c>
    </row>
    <row r="67" spans="1:3" ht="15">
      <c r="A67" s="80" t="s">
        <v>1779</v>
      </c>
      <c r="B67" s="88" t="s">
        <v>348</v>
      </c>
      <c r="C67" s="79">
        <f>VLOOKUP(GroupVertices[[#This Row],[Vertex]],Vertices[],MATCH("ID",Vertices[[#Headers],[Vertex]:[Vertex Content Word Count]],0),FALSE)</f>
        <v>156</v>
      </c>
    </row>
    <row r="68" spans="1:3" ht="15">
      <c r="A68" s="80" t="s">
        <v>1779</v>
      </c>
      <c r="B68" s="88" t="s">
        <v>353</v>
      </c>
      <c r="C68" s="79">
        <f>VLOOKUP(GroupVertices[[#This Row],[Vertex]],Vertices[],MATCH("ID",Vertices[[#Headers],[Vertex]:[Vertex Content Word Count]],0),FALSE)</f>
        <v>149</v>
      </c>
    </row>
    <row r="69" spans="1:3" ht="15">
      <c r="A69" s="80" t="s">
        <v>1779</v>
      </c>
      <c r="B69" s="88" t="s">
        <v>350</v>
      </c>
      <c r="C69" s="79">
        <f>VLOOKUP(GroupVertices[[#This Row],[Vertex]],Vertices[],MATCH("ID",Vertices[[#Headers],[Vertex]:[Vertex Content Word Count]],0),FALSE)</f>
        <v>68</v>
      </c>
    </row>
    <row r="70" spans="1:3" ht="15">
      <c r="A70" s="80" t="s">
        <v>1779</v>
      </c>
      <c r="B70" s="88" t="s">
        <v>381</v>
      </c>
      <c r="C70" s="79">
        <f>VLOOKUP(GroupVertices[[#This Row],[Vertex]],Vertices[],MATCH("ID",Vertices[[#Headers],[Vertex]:[Vertex Content Word Count]],0),FALSE)</f>
        <v>67</v>
      </c>
    </row>
    <row r="71" spans="1:3" ht="15">
      <c r="A71" s="80" t="s">
        <v>1779</v>
      </c>
      <c r="B71" s="88" t="s">
        <v>380</v>
      </c>
      <c r="C71" s="79">
        <f>VLOOKUP(GroupVertices[[#This Row],[Vertex]],Vertices[],MATCH("ID",Vertices[[#Headers],[Vertex]:[Vertex Content Word Count]],0),FALSE)</f>
        <v>66</v>
      </c>
    </row>
    <row r="72" spans="1:3" ht="15">
      <c r="A72" s="80" t="s">
        <v>1779</v>
      </c>
      <c r="B72" s="88" t="s">
        <v>346</v>
      </c>
      <c r="C72" s="79">
        <f>VLOOKUP(GroupVertices[[#This Row],[Vertex]],Vertices[],MATCH("ID",Vertices[[#Headers],[Vertex]:[Vertex Content Word Count]],0),FALSE)</f>
        <v>41</v>
      </c>
    </row>
    <row r="73" spans="1:3" ht="15">
      <c r="A73" s="80" t="s">
        <v>1779</v>
      </c>
      <c r="B73" s="88" t="s">
        <v>344</v>
      </c>
      <c r="C73" s="79">
        <f>VLOOKUP(GroupVertices[[#This Row],[Vertex]],Vertices[],MATCH("ID",Vertices[[#Headers],[Vertex]:[Vertex Content Word Count]],0),FALSE)</f>
        <v>148</v>
      </c>
    </row>
    <row r="74" spans="1:3" ht="15">
      <c r="A74" s="80" t="s">
        <v>1779</v>
      </c>
      <c r="B74" s="88" t="s">
        <v>395</v>
      </c>
      <c r="C74" s="79">
        <f>VLOOKUP(GroupVertices[[#This Row],[Vertex]],Vertices[],MATCH("ID",Vertices[[#Headers],[Vertex]:[Vertex Content Word Count]],0),FALSE)</f>
        <v>136</v>
      </c>
    </row>
    <row r="75" spans="1:3" ht="15">
      <c r="A75" s="80" t="s">
        <v>1779</v>
      </c>
      <c r="B75" s="88" t="s">
        <v>283</v>
      </c>
      <c r="C75" s="79">
        <f>VLOOKUP(GroupVertices[[#This Row],[Vertex]],Vertices[],MATCH("ID",Vertices[[#Headers],[Vertex]:[Vertex Content Word Count]],0),FALSE)</f>
        <v>76</v>
      </c>
    </row>
    <row r="76" spans="1:3" ht="15">
      <c r="A76" s="80" t="s">
        <v>1779</v>
      </c>
      <c r="B76" s="88" t="s">
        <v>276</v>
      </c>
      <c r="C76" s="79">
        <f>VLOOKUP(GroupVertices[[#This Row],[Vertex]],Vertices[],MATCH("ID",Vertices[[#Headers],[Vertex]:[Vertex Content Word Count]],0),FALSE)</f>
        <v>65</v>
      </c>
    </row>
    <row r="77" spans="1:3" ht="15">
      <c r="A77" s="80" t="s">
        <v>1779</v>
      </c>
      <c r="B77" s="88" t="s">
        <v>259</v>
      </c>
      <c r="C77" s="79">
        <f>VLOOKUP(GroupVertices[[#This Row],[Vertex]],Vertices[],MATCH("ID",Vertices[[#Headers],[Vertex]:[Vertex Content Word Count]],0),FALSE)</f>
        <v>40</v>
      </c>
    </row>
    <row r="78" spans="1:3" ht="15">
      <c r="A78" s="80" t="s">
        <v>1780</v>
      </c>
      <c r="B78" s="88" t="s">
        <v>363</v>
      </c>
      <c r="C78" s="79">
        <f>VLOOKUP(GroupVertices[[#This Row],[Vertex]],Vertices[],MATCH("ID",Vertices[[#Headers],[Vertex]:[Vertex Content Word Count]],0),FALSE)</f>
        <v>174</v>
      </c>
    </row>
    <row r="79" spans="1:3" ht="15">
      <c r="A79" s="80" t="s">
        <v>1780</v>
      </c>
      <c r="B79" s="88" t="s">
        <v>362</v>
      </c>
      <c r="C79" s="79">
        <f>VLOOKUP(GroupVertices[[#This Row],[Vertex]],Vertices[],MATCH("ID",Vertices[[#Headers],[Vertex]:[Vertex Content Word Count]],0),FALSE)</f>
        <v>109</v>
      </c>
    </row>
    <row r="80" spans="1:3" ht="15">
      <c r="A80" s="80" t="s">
        <v>1780</v>
      </c>
      <c r="B80" s="88" t="s">
        <v>390</v>
      </c>
      <c r="C80" s="79">
        <f>VLOOKUP(GroupVertices[[#This Row],[Vertex]],Vertices[],MATCH("ID",Vertices[[#Headers],[Vertex]:[Vertex Content Word Count]],0),FALSE)</f>
        <v>108</v>
      </c>
    </row>
    <row r="81" spans="1:3" ht="15">
      <c r="A81" s="80" t="s">
        <v>1780</v>
      </c>
      <c r="B81" s="88" t="s">
        <v>361</v>
      </c>
      <c r="C81" s="79">
        <f>VLOOKUP(GroupVertices[[#This Row],[Vertex]],Vertices[],MATCH("ID",Vertices[[#Headers],[Vertex]:[Vertex Content Word Count]],0),FALSE)</f>
        <v>107</v>
      </c>
    </row>
    <row r="82" spans="1:3" ht="15">
      <c r="A82" s="80" t="s">
        <v>1780</v>
      </c>
      <c r="B82" s="88" t="s">
        <v>336</v>
      </c>
      <c r="C82" s="79">
        <f>VLOOKUP(GroupVertices[[#This Row],[Vertex]],Vertices[],MATCH("ID",Vertices[[#Headers],[Vertex]:[Vertex Content Word Count]],0),FALSE)</f>
        <v>141</v>
      </c>
    </row>
    <row r="83" spans="1:3" ht="15">
      <c r="A83" s="80" t="s">
        <v>1780</v>
      </c>
      <c r="B83" s="88" t="s">
        <v>317</v>
      </c>
      <c r="C83" s="79">
        <f>VLOOKUP(GroupVertices[[#This Row],[Vertex]],Vertices[],MATCH("ID",Vertices[[#Headers],[Vertex]:[Vertex Content Word Count]],0),FALSE)</f>
        <v>125</v>
      </c>
    </row>
    <row r="84" spans="1:3" ht="15">
      <c r="A84" s="80" t="s">
        <v>1780</v>
      </c>
      <c r="B84" s="88" t="s">
        <v>316</v>
      </c>
      <c r="C84" s="79">
        <f>VLOOKUP(GroupVertices[[#This Row],[Vertex]],Vertices[],MATCH("ID",Vertices[[#Headers],[Vertex]:[Vertex Content Word Count]],0),FALSE)</f>
        <v>123</v>
      </c>
    </row>
    <row r="85" spans="1:3" ht="15">
      <c r="A85" s="80" t="s">
        <v>1780</v>
      </c>
      <c r="B85" s="88" t="s">
        <v>394</v>
      </c>
      <c r="C85" s="79">
        <f>VLOOKUP(GroupVertices[[#This Row],[Vertex]],Vertices[],MATCH("ID",Vertices[[#Headers],[Vertex]:[Vertex Content Word Count]],0),FALSE)</f>
        <v>124</v>
      </c>
    </row>
    <row r="86" spans="1:3" ht="15">
      <c r="A86" s="80" t="s">
        <v>1780</v>
      </c>
      <c r="B86" s="88" t="s">
        <v>312</v>
      </c>
      <c r="C86" s="79">
        <f>VLOOKUP(GroupVertices[[#This Row],[Vertex]],Vertices[],MATCH("ID",Vertices[[#Headers],[Vertex]:[Vertex Content Word Count]],0),FALSE)</f>
        <v>120</v>
      </c>
    </row>
    <row r="87" spans="1:3" ht="15">
      <c r="A87" s="80" t="s">
        <v>1780</v>
      </c>
      <c r="B87" s="88" t="s">
        <v>311</v>
      </c>
      <c r="C87" s="79">
        <f>VLOOKUP(GroupVertices[[#This Row],[Vertex]],Vertices[],MATCH("ID",Vertices[[#Headers],[Vertex]:[Vertex Content Word Count]],0),FALSE)</f>
        <v>119</v>
      </c>
    </row>
    <row r="88" spans="1:3" ht="15">
      <c r="A88" s="80" t="s">
        <v>1780</v>
      </c>
      <c r="B88" s="88" t="s">
        <v>308</v>
      </c>
      <c r="C88" s="79">
        <f>VLOOKUP(GroupVertices[[#This Row],[Vertex]],Vertices[],MATCH("ID",Vertices[[#Headers],[Vertex]:[Vertex Content Word Count]],0),FALSE)</f>
        <v>116</v>
      </c>
    </row>
    <row r="89" spans="1:3" ht="15">
      <c r="A89" s="80" t="s">
        <v>1780</v>
      </c>
      <c r="B89" s="88" t="s">
        <v>305</v>
      </c>
      <c r="C89" s="79">
        <f>VLOOKUP(GroupVertices[[#This Row],[Vertex]],Vertices[],MATCH("ID",Vertices[[#Headers],[Vertex]:[Vertex Content Word Count]],0),FALSE)</f>
        <v>110</v>
      </c>
    </row>
    <row r="90" spans="1:3" ht="15">
      <c r="A90" s="80" t="s">
        <v>1780</v>
      </c>
      <c r="B90" s="88" t="s">
        <v>304</v>
      </c>
      <c r="C90" s="79">
        <f>VLOOKUP(GroupVertices[[#This Row],[Vertex]],Vertices[],MATCH("ID",Vertices[[#Headers],[Vertex]:[Vertex Content Word Count]],0),FALSE)</f>
        <v>106</v>
      </c>
    </row>
    <row r="91" spans="1:3" ht="15">
      <c r="A91" s="80" t="s">
        <v>1781</v>
      </c>
      <c r="B91" s="88" t="s">
        <v>359</v>
      </c>
      <c r="C91" s="79">
        <f>VLOOKUP(GroupVertices[[#This Row],[Vertex]],Vertices[],MATCH("ID",Vertices[[#Headers],[Vertex]:[Vertex Content Word Count]],0),FALSE)</f>
        <v>171</v>
      </c>
    </row>
    <row r="92" spans="1:3" ht="15">
      <c r="A92" s="80" t="s">
        <v>1781</v>
      </c>
      <c r="B92" s="88" t="s">
        <v>258</v>
      </c>
      <c r="C92" s="79">
        <f>VLOOKUP(GroupVertices[[#This Row],[Vertex]],Vertices[],MATCH("ID",Vertices[[#Headers],[Vertex]:[Vertex Content Word Count]],0),FALSE)</f>
        <v>10</v>
      </c>
    </row>
    <row r="93" spans="1:3" ht="15">
      <c r="A93" s="80" t="s">
        <v>1781</v>
      </c>
      <c r="B93" s="88" t="s">
        <v>257</v>
      </c>
      <c r="C93" s="79">
        <f>VLOOKUP(GroupVertices[[#This Row],[Vertex]],Vertices[],MATCH("ID",Vertices[[#Headers],[Vertex]:[Vertex Content Word Count]],0),FALSE)</f>
        <v>37</v>
      </c>
    </row>
    <row r="94" spans="1:3" ht="15">
      <c r="A94" s="80" t="s">
        <v>1781</v>
      </c>
      <c r="B94" s="88" t="s">
        <v>376</v>
      </c>
      <c r="C94" s="79">
        <f>VLOOKUP(GroupVertices[[#This Row],[Vertex]],Vertices[],MATCH("ID",Vertices[[#Headers],[Vertex]:[Vertex Content Word Count]],0),FALSE)</f>
        <v>39</v>
      </c>
    </row>
    <row r="95" spans="1:3" ht="15">
      <c r="A95" s="80" t="s">
        <v>1781</v>
      </c>
      <c r="B95" s="88" t="s">
        <v>375</v>
      </c>
      <c r="C95" s="79">
        <f>VLOOKUP(GroupVertices[[#This Row],[Vertex]],Vertices[],MATCH("ID",Vertices[[#Headers],[Vertex]:[Vertex Content Word Count]],0),FALSE)</f>
        <v>38</v>
      </c>
    </row>
    <row r="96" spans="1:3" ht="15">
      <c r="A96" s="80" t="s">
        <v>1781</v>
      </c>
      <c r="B96" s="88" t="s">
        <v>239</v>
      </c>
      <c r="C96" s="79">
        <f>VLOOKUP(GroupVertices[[#This Row],[Vertex]],Vertices[],MATCH("ID",Vertices[[#Headers],[Vertex]:[Vertex Content Word Count]],0),FALSE)</f>
        <v>12</v>
      </c>
    </row>
    <row r="97" spans="1:3" ht="15">
      <c r="A97" s="80" t="s">
        <v>1781</v>
      </c>
      <c r="B97" s="88" t="s">
        <v>238</v>
      </c>
      <c r="C97" s="79">
        <f>VLOOKUP(GroupVertices[[#This Row],[Vertex]],Vertices[],MATCH("ID",Vertices[[#Headers],[Vertex]:[Vertex Content Word Count]],0),FALSE)</f>
        <v>11</v>
      </c>
    </row>
    <row r="98" spans="1:3" ht="15">
      <c r="A98" s="80" t="s">
        <v>1781</v>
      </c>
      <c r="B98" s="88" t="s">
        <v>237</v>
      </c>
      <c r="C98" s="79">
        <f>VLOOKUP(GroupVertices[[#This Row],[Vertex]],Vertices[],MATCH("ID",Vertices[[#Headers],[Vertex]:[Vertex Content Word Count]],0),FALSE)</f>
        <v>9</v>
      </c>
    </row>
    <row r="99" spans="1:3" ht="15">
      <c r="A99" s="80" t="s">
        <v>1782</v>
      </c>
      <c r="B99" s="88" t="s">
        <v>358</v>
      </c>
      <c r="C99" s="79">
        <f>VLOOKUP(GroupVertices[[#This Row],[Vertex]],Vertices[],MATCH("ID",Vertices[[#Headers],[Vertex]:[Vertex Content Word Count]],0),FALSE)</f>
        <v>168</v>
      </c>
    </row>
    <row r="100" spans="1:3" ht="15">
      <c r="A100" s="80" t="s">
        <v>1782</v>
      </c>
      <c r="B100" s="88" t="s">
        <v>404</v>
      </c>
      <c r="C100" s="79">
        <f>VLOOKUP(GroupVertices[[#This Row],[Vertex]],Vertices[],MATCH("ID",Vertices[[#Headers],[Vertex]:[Vertex Content Word Count]],0),FALSE)</f>
        <v>170</v>
      </c>
    </row>
    <row r="101" spans="1:3" ht="15">
      <c r="A101" s="80" t="s">
        <v>1782</v>
      </c>
      <c r="B101" s="88" t="s">
        <v>403</v>
      </c>
      <c r="C101" s="79">
        <f>VLOOKUP(GroupVertices[[#This Row],[Vertex]],Vertices[],MATCH("ID",Vertices[[#Headers],[Vertex]:[Vertex Content Word Count]],0),FALSE)</f>
        <v>169</v>
      </c>
    </row>
    <row r="102" spans="1:3" ht="15">
      <c r="A102" s="80" t="s">
        <v>1782</v>
      </c>
      <c r="B102" s="88" t="s">
        <v>373</v>
      </c>
      <c r="C102" s="79">
        <f>VLOOKUP(GroupVertices[[#This Row],[Vertex]],Vertices[],MATCH("ID",Vertices[[#Headers],[Vertex]:[Vertex Content Word Count]],0),FALSE)</f>
        <v>29</v>
      </c>
    </row>
    <row r="103" spans="1:3" ht="15">
      <c r="A103" s="80" t="s">
        <v>1782</v>
      </c>
      <c r="B103" s="88" t="s">
        <v>250</v>
      </c>
      <c r="C103" s="79">
        <f>VLOOKUP(GroupVertices[[#This Row],[Vertex]],Vertices[],MATCH("ID",Vertices[[#Headers],[Vertex]:[Vertex Content Word Count]],0),FALSE)</f>
        <v>27</v>
      </c>
    </row>
    <row r="104" spans="1:3" ht="15">
      <c r="A104" s="80" t="s">
        <v>1782</v>
      </c>
      <c r="B104" s="88" t="s">
        <v>249</v>
      </c>
      <c r="C104" s="79">
        <f>VLOOKUP(GroupVertices[[#This Row],[Vertex]],Vertices[],MATCH("ID",Vertices[[#Headers],[Vertex]:[Vertex Content Word Count]],0),FALSE)</f>
        <v>25</v>
      </c>
    </row>
    <row r="105" spans="1:3" ht="15">
      <c r="A105" s="80" t="s">
        <v>1782</v>
      </c>
      <c r="B105" s="88" t="s">
        <v>372</v>
      </c>
      <c r="C105" s="79">
        <f>VLOOKUP(GroupVertices[[#This Row],[Vertex]],Vertices[],MATCH("ID",Vertices[[#Headers],[Vertex]:[Vertex Content Word Count]],0),FALSE)</f>
        <v>28</v>
      </c>
    </row>
    <row r="106" spans="1:3" ht="15">
      <c r="A106" s="80" t="s">
        <v>1782</v>
      </c>
      <c r="B106" s="88" t="s">
        <v>371</v>
      </c>
      <c r="C106" s="79">
        <f>VLOOKUP(GroupVertices[[#This Row],[Vertex]],Vertices[],MATCH("ID",Vertices[[#Headers],[Vertex]:[Vertex Content Word Count]],0),FALSE)</f>
        <v>26</v>
      </c>
    </row>
    <row r="107" spans="1:3" ht="15">
      <c r="A107" s="80" t="s">
        <v>1783</v>
      </c>
      <c r="B107" s="88" t="s">
        <v>320</v>
      </c>
      <c r="C107" s="79">
        <f>VLOOKUP(GroupVertices[[#This Row],[Vertex]],Vertices[],MATCH("ID",Vertices[[#Headers],[Vertex]:[Vertex Content Word Count]],0),FALSE)</f>
        <v>127</v>
      </c>
    </row>
    <row r="108" spans="1:3" ht="15">
      <c r="A108" s="80" t="s">
        <v>1783</v>
      </c>
      <c r="B108" s="88" t="s">
        <v>319</v>
      </c>
      <c r="C108" s="79">
        <f>VLOOKUP(GroupVertices[[#This Row],[Vertex]],Vertices[],MATCH("ID",Vertices[[#Headers],[Vertex]:[Vertex Content Word Count]],0),FALSE)</f>
        <v>22</v>
      </c>
    </row>
    <row r="109" spans="1:3" ht="15">
      <c r="A109" s="80" t="s">
        <v>1783</v>
      </c>
      <c r="B109" s="88" t="s">
        <v>318</v>
      </c>
      <c r="C109" s="79">
        <f>VLOOKUP(GroupVertices[[#This Row],[Vertex]],Vertices[],MATCH("ID",Vertices[[#Headers],[Vertex]:[Vertex Content Word Count]],0),FALSE)</f>
        <v>126</v>
      </c>
    </row>
    <row r="110" spans="1:3" ht="15">
      <c r="A110" s="80" t="s">
        <v>1783</v>
      </c>
      <c r="B110" s="88" t="s">
        <v>252</v>
      </c>
      <c r="C110" s="79">
        <f>VLOOKUP(GroupVertices[[#This Row],[Vertex]],Vertices[],MATCH("ID",Vertices[[#Headers],[Vertex]:[Vertex Content Word Count]],0),FALSE)</f>
        <v>31</v>
      </c>
    </row>
    <row r="111" spans="1:3" ht="15">
      <c r="A111" s="80" t="s">
        <v>1783</v>
      </c>
      <c r="B111" s="88" t="s">
        <v>247</v>
      </c>
      <c r="C111" s="79">
        <f>VLOOKUP(GroupVertices[[#This Row],[Vertex]],Vertices[],MATCH("ID",Vertices[[#Headers],[Vertex]:[Vertex Content Word Count]],0),FALSE)</f>
        <v>23</v>
      </c>
    </row>
    <row r="112" spans="1:3" ht="15">
      <c r="A112" s="80" t="s">
        <v>1783</v>
      </c>
      <c r="B112" s="88" t="s">
        <v>246</v>
      </c>
      <c r="C112" s="79">
        <f>VLOOKUP(GroupVertices[[#This Row],[Vertex]],Vertices[],MATCH("ID",Vertices[[#Headers],[Vertex]:[Vertex Content Word Count]],0),FALSE)</f>
        <v>21</v>
      </c>
    </row>
    <row r="113" spans="1:3" ht="15">
      <c r="A113" s="80" t="s">
        <v>1784</v>
      </c>
      <c r="B113" s="88" t="s">
        <v>307</v>
      </c>
      <c r="C113" s="79">
        <f>VLOOKUP(GroupVertices[[#This Row],[Vertex]],Vertices[],MATCH("ID",Vertices[[#Headers],[Vertex]:[Vertex Content Word Count]],0),FALSE)</f>
        <v>95</v>
      </c>
    </row>
    <row r="114" spans="1:3" ht="15">
      <c r="A114" s="80" t="s">
        <v>1784</v>
      </c>
      <c r="B114" s="88" t="s">
        <v>393</v>
      </c>
      <c r="C114" s="79">
        <f>VLOOKUP(GroupVertices[[#This Row],[Vertex]],Vertices[],MATCH("ID",Vertices[[#Headers],[Vertex]:[Vertex Content Word Count]],0),FALSE)</f>
        <v>115</v>
      </c>
    </row>
    <row r="115" spans="1:3" ht="15">
      <c r="A115" s="80" t="s">
        <v>1784</v>
      </c>
      <c r="B115" s="88" t="s">
        <v>392</v>
      </c>
      <c r="C115" s="79">
        <f>VLOOKUP(GroupVertices[[#This Row],[Vertex]],Vertices[],MATCH("ID",Vertices[[#Headers],[Vertex]:[Vertex Content Word Count]],0),FALSE)</f>
        <v>114</v>
      </c>
    </row>
    <row r="116" spans="1:3" ht="15">
      <c r="A116" s="80" t="s">
        <v>1784</v>
      </c>
      <c r="B116" s="88" t="s">
        <v>391</v>
      </c>
      <c r="C116" s="79">
        <f>VLOOKUP(GroupVertices[[#This Row],[Vertex]],Vertices[],MATCH("ID",Vertices[[#Headers],[Vertex]:[Vertex Content Word Count]],0),FALSE)</f>
        <v>113</v>
      </c>
    </row>
    <row r="117" spans="1:3" ht="15">
      <c r="A117" s="80" t="s">
        <v>1784</v>
      </c>
      <c r="B117" s="88" t="s">
        <v>389</v>
      </c>
      <c r="C117" s="79">
        <f>VLOOKUP(GroupVertices[[#This Row],[Vertex]],Vertices[],MATCH("ID",Vertices[[#Headers],[Vertex]:[Vertex Content Word Count]],0),FALSE)</f>
        <v>94</v>
      </c>
    </row>
    <row r="118" spans="1:3" ht="15">
      <c r="A118" s="80" t="s">
        <v>1784</v>
      </c>
      <c r="B118" s="88" t="s">
        <v>293</v>
      </c>
      <c r="C118" s="79">
        <f>VLOOKUP(GroupVertices[[#This Row],[Vertex]],Vertices[],MATCH("ID",Vertices[[#Headers],[Vertex]:[Vertex Content Word Count]],0),FALSE)</f>
        <v>93</v>
      </c>
    </row>
    <row r="119" spans="1:3" ht="15">
      <c r="A119" s="80" t="s">
        <v>1785</v>
      </c>
      <c r="B119" s="88" t="s">
        <v>292</v>
      </c>
      <c r="C119" s="79">
        <f>VLOOKUP(GroupVertices[[#This Row],[Vertex]],Vertices[],MATCH("ID",Vertices[[#Headers],[Vertex]:[Vertex Content Word Count]],0),FALSE)</f>
        <v>87</v>
      </c>
    </row>
    <row r="120" spans="1:3" ht="15">
      <c r="A120" s="80" t="s">
        <v>1785</v>
      </c>
      <c r="B120" s="88" t="s">
        <v>388</v>
      </c>
      <c r="C120" s="79">
        <f>VLOOKUP(GroupVertices[[#This Row],[Vertex]],Vertices[],MATCH("ID",Vertices[[#Headers],[Vertex]:[Vertex Content Word Count]],0),FALSE)</f>
        <v>92</v>
      </c>
    </row>
    <row r="121" spans="1:3" ht="15">
      <c r="A121" s="80" t="s">
        <v>1785</v>
      </c>
      <c r="B121" s="88" t="s">
        <v>387</v>
      </c>
      <c r="C121" s="79">
        <f>VLOOKUP(GroupVertices[[#This Row],[Vertex]],Vertices[],MATCH("ID",Vertices[[#Headers],[Vertex]:[Vertex Content Word Count]],0),FALSE)</f>
        <v>91</v>
      </c>
    </row>
    <row r="122" spans="1:3" ht="15">
      <c r="A122" s="80" t="s">
        <v>1785</v>
      </c>
      <c r="B122" s="88" t="s">
        <v>386</v>
      </c>
      <c r="C122" s="79">
        <f>VLOOKUP(GroupVertices[[#This Row],[Vertex]],Vertices[],MATCH("ID",Vertices[[#Headers],[Vertex]:[Vertex Content Word Count]],0),FALSE)</f>
        <v>90</v>
      </c>
    </row>
    <row r="123" spans="1:3" ht="15">
      <c r="A123" s="80" t="s">
        <v>1785</v>
      </c>
      <c r="B123" s="88" t="s">
        <v>385</v>
      </c>
      <c r="C123" s="79">
        <f>VLOOKUP(GroupVertices[[#This Row],[Vertex]],Vertices[],MATCH("ID",Vertices[[#Headers],[Vertex]:[Vertex Content Word Count]],0),FALSE)</f>
        <v>89</v>
      </c>
    </row>
    <row r="124" spans="1:3" ht="15">
      <c r="A124" s="80" t="s">
        <v>1785</v>
      </c>
      <c r="B124" s="88" t="s">
        <v>384</v>
      </c>
      <c r="C124" s="79">
        <f>VLOOKUP(GroupVertices[[#This Row],[Vertex]],Vertices[],MATCH("ID",Vertices[[#Headers],[Vertex]:[Vertex Content Word Count]],0),FALSE)</f>
        <v>88</v>
      </c>
    </row>
    <row r="125" spans="1:3" ht="15">
      <c r="A125" s="80" t="s">
        <v>1786</v>
      </c>
      <c r="B125" s="88" t="s">
        <v>357</v>
      </c>
      <c r="C125" s="79">
        <f>VLOOKUP(GroupVertices[[#This Row],[Vertex]],Vertices[],MATCH("ID",Vertices[[#Headers],[Vertex]:[Vertex Content Word Count]],0),FALSE)</f>
        <v>167</v>
      </c>
    </row>
    <row r="126" spans="1:3" ht="15">
      <c r="A126" s="80" t="s">
        <v>1786</v>
      </c>
      <c r="B126" s="88" t="s">
        <v>364</v>
      </c>
      <c r="C126" s="79">
        <f>VLOOKUP(GroupVertices[[#This Row],[Vertex]],Vertices[],MATCH("ID",Vertices[[#Headers],[Vertex]:[Vertex Content Word Count]],0),FALSE)</f>
        <v>162</v>
      </c>
    </row>
    <row r="127" spans="1:3" ht="15">
      <c r="A127" s="80" t="s">
        <v>1786</v>
      </c>
      <c r="B127" s="88" t="s">
        <v>365</v>
      </c>
      <c r="C127" s="79">
        <f>VLOOKUP(GroupVertices[[#This Row],[Vertex]],Vertices[],MATCH("ID",Vertices[[#Headers],[Vertex]:[Vertex Content Word Count]],0),FALSE)</f>
        <v>165</v>
      </c>
    </row>
    <row r="128" spans="1:3" ht="15">
      <c r="A128" s="80" t="s">
        <v>1786</v>
      </c>
      <c r="B128" s="88" t="s">
        <v>356</v>
      </c>
      <c r="C128" s="79">
        <f>VLOOKUP(GroupVertices[[#This Row],[Vertex]],Vertices[],MATCH("ID",Vertices[[#Headers],[Vertex]:[Vertex Content Word Count]],0),FALSE)</f>
        <v>166</v>
      </c>
    </row>
    <row r="129" spans="1:3" ht="15">
      <c r="A129" s="80" t="s">
        <v>1786</v>
      </c>
      <c r="B129" s="88" t="s">
        <v>355</v>
      </c>
      <c r="C129" s="79">
        <f>VLOOKUP(GroupVertices[[#This Row],[Vertex]],Vertices[],MATCH("ID",Vertices[[#Headers],[Vertex]:[Vertex Content Word Count]],0),FALSE)</f>
        <v>164</v>
      </c>
    </row>
    <row r="130" spans="1:3" ht="15">
      <c r="A130" s="80" t="s">
        <v>1787</v>
      </c>
      <c r="B130" s="88" t="s">
        <v>345</v>
      </c>
      <c r="C130" s="79">
        <f>VLOOKUP(GroupVertices[[#This Row],[Vertex]],Vertices[],MATCH("ID",Vertices[[#Headers],[Vertex]:[Vertex Content Word Count]],0),FALSE)</f>
        <v>150</v>
      </c>
    </row>
    <row r="131" spans="1:3" ht="15">
      <c r="A131" s="80" t="s">
        <v>1787</v>
      </c>
      <c r="B131" s="88" t="s">
        <v>400</v>
      </c>
      <c r="C131" s="79">
        <f>VLOOKUP(GroupVertices[[#This Row],[Vertex]],Vertices[],MATCH("ID",Vertices[[#Headers],[Vertex]:[Vertex Content Word Count]],0),FALSE)</f>
        <v>154</v>
      </c>
    </row>
    <row r="132" spans="1:3" ht="15">
      <c r="A132" s="80" t="s">
        <v>1787</v>
      </c>
      <c r="B132" s="88" t="s">
        <v>399</v>
      </c>
      <c r="C132" s="79">
        <f>VLOOKUP(GroupVertices[[#This Row],[Vertex]],Vertices[],MATCH("ID",Vertices[[#Headers],[Vertex]:[Vertex Content Word Count]],0),FALSE)</f>
        <v>153</v>
      </c>
    </row>
    <row r="133" spans="1:3" ht="15">
      <c r="A133" s="80" t="s">
        <v>1787</v>
      </c>
      <c r="B133" s="88" t="s">
        <v>398</v>
      </c>
      <c r="C133" s="79">
        <f>VLOOKUP(GroupVertices[[#This Row],[Vertex]],Vertices[],MATCH("ID",Vertices[[#Headers],[Vertex]:[Vertex Content Word Count]],0),FALSE)</f>
        <v>152</v>
      </c>
    </row>
    <row r="134" spans="1:3" ht="15">
      <c r="A134" s="80" t="s">
        <v>1787</v>
      </c>
      <c r="B134" s="88" t="s">
        <v>397</v>
      </c>
      <c r="C134" s="79">
        <f>VLOOKUP(GroupVertices[[#This Row],[Vertex]],Vertices[],MATCH("ID",Vertices[[#Headers],[Vertex]:[Vertex Content Word Count]],0),FALSE)</f>
        <v>151</v>
      </c>
    </row>
    <row r="135" spans="1:3" ht="15">
      <c r="A135" s="80" t="s">
        <v>1788</v>
      </c>
      <c r="B135" s="88" t="s">
        <v>298</v>
      </c>
      <c r="C135" s="79">
        <f>VLOOKUP(GroupVertices[[#This Row],[Vertex]],Vertices[],MATCH("ID",Vertices[[#Headers],[Vertex]:[Vertex Content Word Count]],0),FALSE)</f>
        <v>100</v>
      </c>
    </row>
    <row r="136" spans="1:3" ht="15">
      <c r="A136" s="80" t="s">
        <v>1788</v>
      </c>
      <c r="B136" s="88" t="s">
        <v>328</v>
      </c>
      <c r="C136" s="79">
        <f>VLOOKUP(GroupVertices[[#This Row],[Vertex]],Vertices[],MATCH("ID",Vertices[[#Headers],[Vertex]:[Vertex Content Word Count]],0),FALSE)</f>
        <v>86</v>
      </c>
    </row>
    <row r="137" spans="1:3" ht="15">
      <c r="A137" s="80" t="s">
        <v>1788</v>
      </c>
      <c r="B137" s="88" t="s">
        <v>291</v>
      </c>
      <c r="C137" s="79">
        <f>VLOOKUP(GroupVertices[[#This Row],[Vertex]],Vertices[],MATCH("ID",Vertices[[#Headers],[Vertex]:[Vertex Content Word Count]],0),FALSE)</f>
        <v>85</v>
      </c>
    </row>
    <row r="138" spans="1:3" ht="15">
      <c r="A138" s="80" t="s">
        <v>1789</v>
      </c>
      <c r="B138" s="88" t="s">
        <v>289</v>
      </c>
      <c r="C138" s="79">
        <f>VLOOKUP(GroupVertices[[#This Row],[Vertex]],Vertices[],MATCH("ID",Vertices[[#Headers],[Vertex]:[Vertex Content Word Count]],0),FALSE)</f>
        <v>83</v>
      </c>
    </row>
    <row r="139" spans="1:3" ht="15">
      <c r="A139" s="80" t="s">
        <v>1789</v>
      </c>
      <c r="B139" s="88" t="s">
        <v>288</v>
      </c>
      <c r="C139" s="79">
        <f>VLOOKUP(GroupVertices[[#This Row],[Vertex]],Vertices[],MATCH("ID",Vertices[[#Headers],[Vertex]:[Vertex Content Word Count]],0),FALSE)</f>
        <v>82</v>
      </c>
    </row>
    <row r="140" spans="1:3" ht="15">
      <c r="A140" s="80" t="s">
        <v>1789</v>
      </c>
      <c r="B140" s="88" t="s">
        <v>287</v>
      </c>
      <c r="C140" s="79">
        <f>VLOOKUP(GroupVertices[[#This Row],[Vertex]],Vertices[],MATCH("ID",Vertices[[#Headers],[Vertex]:[Vertex Content Word Count]],0),FALSE)</f>
        <v>81</v>
      </c>
    </row>
    <row r="141" spans="1:3" ht="15">
      <c r="A141" s="80" t="s">
        <v>1790</v>
      </c>
      <c r="B141" s="88" t="s">
        <v>274</v>
      </c>
      <c r="C141" s="79">
        <f>VLOOKUP(GroupVertices[[#This Row],[Vertex]],Vertices[],MATCH("ID",Vertices[[#Headers],[Vertex]:[Vertex Content Word Count]],0),FALSE)</f>
        <v>63</v>
      </c>
    </row>
    <row r="142" spans="1:3" ht="15">
      <c r="A142" s="80" t="s">
        <v>1790</v>
      </c>
      <c r="B142" s="88" t="s">
        <v>314</v>
      </c>
      <c r="C142" s="79">
        <f>VLOOKUP(GroupVertices[[#This Row],[Vertex]],Vertices[],MATCH("ID",Vertices[[#Headers],[Vertex]:[Vertex Content Word Count]],0),FALSE)</f>
        <v>55</v>
      </c>
    </row>
    <row r="143" spans="1:3" ht="15">
      <c r="A143" s="80" t="s">
        <v>1790</v>
      </c>
      <c r="B143" s="88" t="s">
        <v>267</v>
      </c>
      <c r="C143" s="79">
        <f>VLOOKUP(GroupVertices[[#This Row],[Vertex]],Vertices[],MATCH("ID",Vertices[[#Headers],[Vertex]:[Vertex Content Word Count]],0),FALSE)</f>
        <v>54</v>
      </c>
    </row>
    <row r="144" spans="1:3" ht="15">
      <c r="A144" s="80" t="s">
        <v>1791</v>
      </c>
      <c r="B144" s="88" t="s">
        <v>256</v>
      </c>
      <c r="C144" s="79">
        <f>VLOOKUP(GroupVertices[[#This Row],[Vertex]],Vertices[],MATCH("ID",Vertices[[#Headers],[Vertex]:[Vertex Content Word Count]],0),FALSE)</f>
        <v>36</v>
      </c>
    </row>
    <row r="145" spans="1:3" ht="15">
      <c r="A145" s="80" t="s">
        <v>1791</v>
      </c>
      <c r="B145" s="88" t="s">
        <v>255</v>
      </c>
      <c r="C145" s="79">
        <f>VLOOKUP(GroupVertices[[#This Row],[Vertex]],Vertices[],MATCH("ID",Vertices[[#Headers],[Vertex]:[Vertex Content Word Count]],0),FALSE)</f>
        <v>35</v>
      </c>
    </row>
    <row r="146" spans="1:3" ht="15">
      <c r="A146" s="80" t="s">
        <v>1791</v>
      </c>
      <c r="B146" s="88" t="s">
        <v>254</v>
      </c>
      <c r="C146" s="79">
        <f>VLOOKUP(GroupVertices[[#This Row],[Vertex]],Vertices[],MATCH("ID",Vertices[[#Headers],[Vertex]:[Vertex Content Word Count]],0),FALSE)</f>
        <v>34</v>
      </c>
    </row>
    <row r="147" spans="1:3" ht="15">
      <c r="A147" s="80" t="s">
        <v>1792</v>
      </c>
      <c r="B147" s="88" t="s">
        <v>235</v>
      </c>
      <c r="C147" s="79">
        <f>VLOOKUP(GroupVertices[[#This Row],[Vertex]],Vertices[],MATCH("ID",Vertices[[#Headers],[Vertex]:[Vertex Content Word Count]],0),FALSE)</f>
        <v>6</v>
      </c>
    </row>
    <row r="148" spans="1:3" ht="15">
      <c r="A148" s="80" t="s">
        <v>1792</v>
      </c>
      <c r="B148" s="88" t="s">
        <v>234</v>
      </c>
      <c r="C148" s="79">
        <f>VLOOKUP(GroupVertices[[#This Row],[Vertex]],Vertices[],MATCH("ID",Vertices[[#Headers],[Vertex]:[Vertex Content Word Count]],0),FALSE)</f>
        <v>4</v>
      </c>
    </row>
    <row r="149" spans="1:3" ht="15">
      <c r="A149" s="80" t="s">
        <v>1792</v>
      </c>
      <c r="B149" s="88" t="s">
        <v>367</v>
      </c>
      <c r="C149" s="79">
        <f>VLOOKUP(GroupVertices[[#This Row],[Vertex]],Vertices[],MATCH("ID",Vertices[[#Headers],[Vertex]:[Vertex Content Word Count]],0),FALSE)</f>
        <v>5</v>
      </c>
    </row>
    <row r="150" spans="1:3" ht="15">
      <c r="A150" s="80" t="s">
        <v>1793</v>
      </c>
      <c r="B150" s="88" t="s">
        <v>360</v>
      </c>
      <c r="C150" s="79">
        <f>VLOOKUP(GroupVertices[[#This Row],[Vertex]],Vertices[],MATCH("ID",Vertices[[#Headers],[Vertex]:[Vertex Content Word Count]],0),FALSE)</f>
        <v>172</v>
      </c>
    </row>
    <row r="151" spans="1:3" ht="15">
      <c r="A151" s="80" t="s">
        <v>1793</v>
      </c>
      <c r="B151" s="88" t="s">
        <v>405</v>
      </c>
      <c r="C151" s="79">
        <f>VLOOKUP(GroupVertices[[#This Row],[Vertex]],Vertices[],MATCH("ID",Vertices[[#Headers],[Vertex]:[Vertex Content Word Count]],0),FALSE)</f>
        <v>173</v>
      </c>
    </row>
    <row r="152" spans="1:3" ht="15">
      <c r="A152" s="80" t="s">
        <v>1794</v>
      </c>
      <c r="B152" s="88" t="s">
        <v>310</v>
      </c>
      <c r="C152" s="79">
        <f>VLOOKUP(GroupVertices[[#This Row],[Vertex]],Vertices[],MATCH("ID",Vertices[[#Headers],[Vertex]:[Vertex Content Word Count]],0),FALSE)</f>
        <v>118</v>
      </c>
    </row>
    <row r="153" spans="1:3" ht="15">
      <c r="A153" s="80" t="s">
        <v>1794</v>
      </c>
      <c r="B153" s="88" t="s">
        <v>309</v>
      </c>
      <c r="C153" s="79">
        <f>VLOOKUP(GroupVertices[[#This Row],[Vertex]],Vertices[],MATCH("ID",Vertices[[#Headers],[Vertex]:[Vertex Content Word Count]],0),FALSE)</f>
        <v>117</v>
      </c>
    </row>
    <row r="154" spans="1:3" ht="15">
      <c r="A154" s="80" t="s">
        <v>1795</v>
      </c>
      <c r="B154" s="88" t="s">
        <v>286</v>
      </c>
      <c r="C154" s="79">
        <f>VLOOKUP(GroupVertices[[#This Row],[Vertex]],Vertices[],MATCH("ID",Vertices[[#Headers],[Vertex]:[Vertex Content Word Count]],0),FALSE)</f>
        <v>79</v>
      </c>
    </row>
    <row r="155" spans="1:3" ht="15">
      <c r="A155" s="80" t="s">
        <v>1795</v>
      </c>
      <c r="B155" s="88" t="s">
        <v>383</v>
      </c>
      <c r="C155" s="79">
        <f>VLOOKUP(GroupVertices[[#This Row],[Vertex]],Vertices[],MATCH("ID",Vertices[[#Headers],[Vertex]:[Vertex Content Word Count]],0),FALSE)</f>
        <v>80</v>
      </c>
    </row>
    <row r="156" spans="1:3" ht="15">
      <c r="A156" s="80" t="s">
        <v>1796</v>
      </c>
      <c r="B156" s="88" t="s">
        <v>282</v>
      </c>
      <c r="C156" s="79">
        <f>VLOOKUP(GroupVertices[[#This Row],[Vertex]],Vertices[],MATCH("ID",Vertices[[#Headers],[Vertex]:[Vertex Content Word Count]],0),FALSE)</f>
        <v>75</v>
      </c>
    </row>
    <row r="157" spans="1:3" ht="15">
      <c r="A157" s="80" t="s">
        <v>1796</v>
      </c>
      <c r="B157" s="88" t="s">
        <v>281</v>
      </c>
      <c r="C157" s="79">
        <f>VLOOKUP(GroupVertices[[#This Row],[Vertex]],Vertices[],MATCH("ID",Vertices[[#Headers],[Vertex]:[Vertex Content Word Count]],0),FALSE)</f>
        <v>74</v>
      </c>
    </row>
    <row r="158" spans="1:3" ht="15">
      <c r="A158" s="80" t="s">
        <v>1797</v>
      </c>
      <c r="B158" s="88" t="s">
        <v>280</v>
      </c>
      <c r="C158" s="79">
        <f>VLOOKUP(GroupVertices[[#This Row],[Vertex]],Vertices[],MATCH("ID",Vertices[[#Headers],[Vertex]:[Vertex Content Word Count]],0),FALSE)</f>
        <v>72</v>
      </c>
    </row>
    <row r="159" spans="1:3" ht="15">
      <c r="A159" s="80" t="s">
        <v>1797</v>
      </c>
      <c r="B159" s="88" t="s">
        <v>382</v>
      </c>
      <c r="C159" s="79">
        <f>VLOOKUP(GroupVertices[[#This Row],[Vertex]],Vertices[],MATCH("ID",Vertices[[#Headers],[Vertex]:[Vertex Content Word Count]],0),FALSE)</f>
        <v>73</v>
      </c>
    </row>
    <row r="160" spans="1:3" ht="15">
      <c r="A160" s="80" t="s">
        <v>1798</v>
      </c>
      <c r="B160" s="88" t="s">
        <v>279</v>
      </c>
      <c r="C160" s="79">
        <f>VLOOKUP(GroupVertices[[#This Row],[Vertex]],Vertices[],MATCH("ID",Vertices[[#Headers],[Vertex]:[Vertex Content Word Count]],0),FALSE)</f>
        <v>71</v>
      </c>
    </row>
    <row r="161" spans="1:3" ht="15">
      <c r="A161" s="80" t="s">
        <v>1798</v>
      </c>
      <c r="B161" s="88" t="s">
        <v>278</v>
      </c>
      <c r="C161" s="79">
        <f>VLOOKUP(GroupVertices[[#This Row],[Vertex]],Vertices[],MATCH("ID",Vertices[[#Headers],[Vertex]:[Vertex Content Word Count]],0),FALSE)</f>
        <v>70</v>
      </c>
    </row>
    <row r="162" spans="1:3" ht="15">
      <c r="A162" s="80" t="s">
        <v>1799</v>
      </c>
      <c r="B162" s="88" t="s">
        <v>273</v>
      </c>
      <c r="C162" s="79">
        <f>VLOOKUP(GroupVertices[[#This Row],[Vertex]],Vertices[],MATCH("ID",Vertices[[#Headers],[Vertex]:[Vertex Content Word Count]],0),FALSE)</f>
        <v>61</v>
      </c>
    </row>
    <row r="163" spans="1:3" ht="15">
      <c r="A163" s="80" t="s">
        <v>1799</v>
      </c>
      <c r="B163" s="88" t="s">
        <v>379</v>
      </c>
      <c r="C163" s="79">
        <f>VLOOKUP(GroupVertices[[#This Row],[Vertex]],Vertices[],MATCH("ID",Vertices[[#Headers],[Vertex]:[Vertex Content Word Count]],0),FALSE)</f>
        <v>62</v>
      </c>
    </row>
    <row r="164" spans="1:3" ht="15">
      <c r="A164" s="80" t="s">
        <v>1800</v>
      </c>
      <c r="B164" s="88" t="s">
        <v>270</v>
      </c>
      <c r="C164" s="79">
        <f>VLOOKUP(GroupVertices[[#This Row],[Vertex]],Vertices[],MATCH("ID",Vertices[[#Headers],[Vertex]:[Vertex Content Word Count]],0),FALSE)</f>
        <v>58</v>
      </c>
    </row>
    <row r="165" spans="1:3" ht="15">
      <c r="A165" s="80" t="s">
        <v>1800</v>
      </c>
      <c r="B165" s="88" t="s">
        <v>269</v>
      </c>
      <c r="C165" s="79">
        <f>VLOOKUP(GroupVertices[[#This Row],[Vertex]],Vertices[],MATCH("ID",Vertices[[#Headers],[Vertex]:[Vertex Content Word Count]],0),FALSE)</f>
        <v>57</v>
      </c>
    </row>
    <row r="166" spans="1:3" ht="15">
      <c r="A166" s="80" t="s">
        <v>1801</v>
      </c>
      <c r="B166" s="88" t="s">
        <v>253</v>
      </c>
      <c r="C166" s="79">
        <f>VLOOKUP(GroupVertices[[#This Row],[Vertex]],Vertices[],MATCH("ID",Vertices[[#Headers],[Vertex]:[Vertex Content Word Count]],0),FALSE)</f>
        <v>32</v>
      </c>
    </row>
    <row r="167" spans="1:3" ht="15">
      <c r="A167" s="80" t="s">
        <v>1801</v>
      </c>
      <c r="B167" s="88" t="s">
        <v>374</v>
      </c>
      <c r="C167" s="79">
        <f>VLOOKUP(GroupVertices[[#This Row],[Vertex]],Vertices[],MATCH("ID",Vertices[[#Headers],[Vertex]:[Vertex Content Word Count]],0),FALSE)</f>
        <v>33</v>
      </c>
    </row>
    <row r="168" spans="1:3" ht="15">
      <c r="A168" s="80" t="s">
        <v>1802</v>
      </c>
      <c r="B168" s="88" t="s">
        <v>244</v>
      </c>
      <c r="C168" s="79">
        <f>VLOOKUP(GroupVertices[[#This Row],[Vertex]],Vertices[],MATCH("ID",Vertices[[#Headers],[Vertex]:[Vertex Content Word Count]],0),FALSE)</f>
        <v>18</v>
      </c>
    </row>
    <row r="169" spans="1:3" ht="15">
      <c r="A169" s="80" t="s">
        <v>1802</v>
      </c>
      <c r="B169" s="88" t="s">
        <v>370</v>
      </c>
      <c r="C169" s="79">
        <f>VLOOKUP(GroupVertices[[#This Row],[Vertex]],Vertices[],MATCH("ID",Vertices[[#Headers],[Vertex]:[Vertex Content Word Count]],0),FALSE)</f>
        <v>19</v>
      </c>
    </row>
    <row r="170" spans="1:3" ht="15">
      <c r="A170" s="80" t="s">
        <v>1803</v>
      </c>
      <c r="B170" s="88" t="s">
        <v>243</v>
      </c>
      <c r="C170" s="79">
        <f>VLOOKUP(GroupVertices[[#This Row],[Vertex]],Vertices[],MATCH("ID",Vertices[[#Headers],[Vertex]:[Vertex Content Word Count]],0),FALSE)</f>
        <v>16</v>
      </c>
    </row>
    <row r="171" spans="1:3" ht="15">
      <c r="A171" s="80" t="s">
        <v>1803</v>
      </c>
      <c r="B171" s="88" t="s">
        <v>369</v>
      </c>
      <c r="C171" s="79">
        <f>VLOOKUP(GroupVertices[[#This Row],[Vertex]],Vertices[],MATCH("ID",Vertices[[#Headers],[Vertex]:[Vertex Content Word Count]],0),FALSE)</f>
        <v>17</v>
      </c>
    </row>
    <row r="172" spans="1:3" ht="15">
      <c r="A172" s="80" t="s">
        <v>1804</v>
      </c>
      <c r="B172" s="88" t="s">
        <v>236</v>
      </c>
      <c r="C172" s="79">
        <f>VLOOKUP(GroupVertices[[#This Row],[Vertex]],Vertices[],MATCH("ID",Vertices[[#Headers],[Vertex]:[Vertex Content Word Count]],0),FALSE)</f>
        <v>7</v>
      </c>
    </row>
    <row r="173" spans="1:3" ht="15">
      <c r="A173" s="80" t="s">
        <v>1804</v>
      </c>
      <c r="B173" s="88" t="s">
        <v>368</v>
      </c>
      <c r="C173" s="79">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A173"/>
    <dataValidation allowBlank="1" showInputMessage="1" showErrorMessage="1" promptTitle="Vertex Name" prompt="Enter the name of a vertex to include in the group." sqref="B2:B173"/>
    <dataValidation allowBlank="1" showInputMessage="1" promptTitle="Vertex ID" prompt="This is the value of the hidden ID cell in the Vertices worksheet.  It gets filled in by the items on the NodeXL, Analysis, Groups menu." sqref="C2:C1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2741</v>
      </c>
      <c r="B2" s="35" t="s">
        <v>191</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158</v>
      </c>
      <c r="L2" s="38">
        <f>MIN(Vertices[Closeness Centrality])</f>
        <v>0</v>
      </c>
      <c r="M2" s="39">
        <f>COUNTIF(Vertices[Closeness Centrality],"&gt;= "&amp;L2)-COUNTIF(Vertices[Closeness Centrality],"&gt;="&amp;L3)</f>
        <v>81</v>
      </c>
      <c r="N2" s="38">
        <f>MIN(Vertices[Eigenvector Centrality])</f>
        <v>0</v>
      </c>
      <c r="O2" s="39">
        <f>COUNTIF(Vertices[Eigenvector Centrality],"&gt;= "&amp;N2)-COUNTIF(Vertices[Eigenvector Centrality],"&gt;="&amp;N3)</f>
        <v>136</v>
      </c>
      <c r="P2" s="38">
        <f>MIN(Vertices[PageRank])</f>
        <v>0.288891</v>
      </c>
      <c r="Q2" s="39">
        <f>COUNTIF(Vertices[PageRank],"&gt;= "&amp;P2)-COUNTIF(Vertices[PageRank],"&gt;="&amp;P3)</f>
        <v>2</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59</v>
      </c>
      <c r="H3" s="40">
        <f aca="true" t="shared" si="3" ref="H3:H35">H2+($H$36-$H$2)/BinDivisor</f>
        <v>0.4117647058823529</v>
      </c>
      <c r="I3" s="41">
        <f>COUNTIF(Vertices[Out-Degree],"&gt;= "&amp;H3)-COUNTIF(Vertices[Out-Degree],"&gt;="&amp;H4)</f>
        <v>0</v>
      </c>
      <c r="J3" s="40">
        <f aca="true" t="shared" si="4" ref="J3:J35">J2+($J$36-$J$2)/BinDivisor</f>
        <v>54.13235294117647</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13</v>
      </c>
      <c r="N3" s="40">
        <f aca="true" t="shared" si="6" ref="N3:N35">N2+($N$36-$N$2)/BinDivisor</f>
        <v>0.0021980000000000003</v>
      </c>
      <c r="O3" s="41">
        <f>COUNTIF(Vertices[Eigenvector Centrality],"&gt;= "&amp;N3)-COUNTIF(Vertices[Eigenvector Centrality],"&gt;="&amp;N4)</f>
        <v>0</v>
      </c>
      <c r="P3" s="40">
        <f aca="true" t="shared" si="7" ref="P3:P35">P2+($P$36-$P$2)/BinDivisor</f>
        <v>0.4069351764705883</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172</v>
      </c>
      <c r="D4" s="33">
        <f t="shared" si="1"/>
        <v>0</v>
      </c>
      <c r="E4" s="3">
        <f>COUNTIF(Vertices[Degree],"&gt;= "&amp;D4)-COUNTIF(Vertices[Degree],"&gt;="&amp;D5)</f>
        <v>0</v>
      </c>
      <c r="F4" s="38">
        <f t="shared" si="2"/>
        <v>1.8823529411764706</v>
      </c>
      <c r="G4" s="39">
        <f>COUNTIF(Vertices[In-Degree],"&gt;= "&amp;F4)-COUNTIF(Vertices[In-Degree],"&gt;="&amp;F5)</f>
        <v>14</v>
      </c>
      <c r="H4" s="38">
        <f t="shared" si="3"/>
        <v>0.8235294117647058</v>
      </c>
      <c r="I4" s="39">
        <f>COUNTIF(Vertices[Out-Degree],"&gt;= "&amp;H4)-COUNTIF(Vertices[Out-Degree],"&gt;="&amp;H5)</f>
        <v>69</v>
      </c>
      <c r="J4" s="38">
        <f t="shared" si="4"/>
        <v>108.26470588235294</v>
      </c>
      <c r="K4" s="39">
        <f>COUNTIF(Vertices[Betweenness Centrality],"&gt;= "&amp;J4)-COUNTIF(Vertices[Betweenness Centrality],"&gt;="&amp;J5)</f>
        <v>4</v>
      </c>
      <c r="L4" s="38">
        <f t="shared" si="5"/>
        <v>0.058823529411764705</v>
      </c>
      <c r="M4" s="39">
        <f>COUNTIF(Vertices[Closeness Centrality],"&gt;= "&amp;L4)-COUNTIF(Vertices[Closeness Centrality],"&gt;="&amp;L5)</f>
        <v>13</v>
      </c>
      <c r="N4" s="38">
        <f t="shared" si="6"/>
        <v>0.004396000000000001</v>
      </c>
      <c r="O4" s="39">
        <f>COUNTIF(Vertices[Eigenvector Centrality],"&gt;= "&amp;N4)-COUNTIF(Vertices[Eigenvector Centrality],"&gt;="&amp;N5)</f>
        <v>1</v>
      </c>
      <c r="P4" s="38">
        <f t="shared" si="7"/>
        <v>0.5249793529411766</v>
      </c>
      <c r="Q4" s="39">
        <f>COUNTIF(Vertices[PageRank],"&gt;= "&amp;P4)-COUNTIF(Vertices[PageRank],"&gt;="&amp;P5)</f>
        <v>57</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2.8235294117647056</v>
      </c>
      <c r="G5" s="41">
        <f>COUNTIF(Vertices[In-Degree],"&gt;= "&amp;F5)-COUNTIF(Vertices[In-Degree],"&gt;="&amp;F6)</f>
        <v>10</v>
      </c>
      <c r="H5" s="40">
        <f t="shared" si="3"/>
        <v>1.2352941176470589</v>
      </c>
      <c r="I5" s="41">
        <f>COUNTIF(Vertices[Out-Degree],"&gt;= "&amp;H5)-COUNTIF(Vertices[Out-Degree],"&gt;="&amp;H6)</f>
        <v>0</v>
      </c>
      <c r="J5" s="40">
        <f t="shared" si="4"/>
        <v>162.39705882352942</v>
      </c>
      <c r="K5" s="41">
        <f>COUNTIF(Vertices[Betweenness Centrality],"&gt;= "&amp;J5)-COUNTIF(Vertices[Betweenness Centrality],"&gt;="&amp;J6)</f>
        <v>0</v>
      </c>
      <c r="L5" s="40">
        <f t="shared" si="5"/>
        <v>0.08823529411764705</v>
      </c>
      <c r="M5" s="41">
        <f>COUNTIF(Vertices[Closeness Centrality],"&gt;= "&amp;L5)-COUNTIF(Vertices[Closeness Centrality],"&gt;="&amp;L6)</f>
        <v>15</v>
      </c>
      <c r="N5" s="40">
        <f t="shared" si="6"/>
        <v>0.006594000000000001</v>
      </c>
      <c r="O5" s="41">
        <f>COUNTIF(Vertices[Eigenvector Centrality],"&gt;= "&amp;N5)-COUNTIF(Vertices[Eigenvector Centrality],"&gt;="&amp;N6)</f>
        <v>1</v>
      </c>
      <c r="P5" s="40">
        <f t="shared" si="7"/>
        <v>0.6430235294117649</v>
      </c>
      <c r="Q5" s="41">
        <f>COUNTIF(Vertices[PageRank],"&gt;= "&amp;P5)-COUNTIF(Vertices[PageRank],"&gt;="&amp;P6)</f>
        <v>17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254</v>
      </c>
      <c r="D6" s="33">
        <f t="shared" si="1"/>
        <v>0</v>
      </c>
      <c r="E6" s="3">
        <f>COUNTIF(Vertices[Degree],"&gt;= "&amp;D6)-COUNTIF(Vertices[Degree],"&gt;="&amp;D7)</f>
        <v>0</v>
      </c>
      <c r="F6" s="38">
        <f t="shared" si="2"/>
        <v>3.764705882352941</v>
      </c>
      <c r="G6" s="39">
        <f>COUNTIF(Vertices[In-Degree],"&gt;= "&amp;F6)-COUNTIF(Vertices[In-Degree],"&gt;="&amp;F7)</f>
        <v>4</v>
      </c>
      <c r="H6" s="38">
        <f t="shared" si="3"/>
        <v>1.6470588235294117</v>
      </c>
      <c r="I6" s="39">
        <f>COUNTIF(Vertices[Out-Degree],"&gt;= "&amp;H6)-COUNTIF(Vertices[Out-Degree],"&gt;="&amp;H7)</f>
        <v>14</v>
      </c>
      <c r="J6" s="38">
        <f t="shared" si="4"/>
        <v>216.52941176470588</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0.008792000000000001</v>
      </c>
      <c r="O6" s="39">
        <f>COUNTIF(Vertices[Eigenvector Centrality],"&gt;= "&amp;N6)-COUNTIF(Vertices[Eigenvector Centrality],"&gt;="&amp;N7)</f>
        <v>0</v>
      </c>
      <c r="P6" s="38">
        <f t="shared" si="7"/>
        <v>0.7610677058823532</v>
      </c>
      <c r="Q6" s="39">
        <f>COUNTIF(Vertices[PageRank],"&gt;= "&amp;P6)-COUNTIF(Vertices[PageRank],"&gt;="&amp;P7)</f>
        <v>10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169</v>
      </c>
      <c r="D7" s="33">
        <f t="shared" si="1"/>
        <v>0</v>
      </c>
      <c r="E7" s="3">
        <f>COUNTIF(Vertices[Degree],"&gt;= "&amp;D7)-COUNTIF(Vertices[Degree],"&gt;="&amp;D8)</f>
        <v>0</v>
      </c>
      <c r="F7" s="40">
        <f t="shared" si="2"/>
        <v>4.705882352941177</v>
      </c>
      <c r="G7" s="41">
        <f>COUNTIF(Vertices[In-Degree],"&gt;= "&amp;F7)-COUNTIF(Vertices[In-Degree],"&gt;="&amp;F8)</f>
        <v>1</v>
      </c>
      <c r="H7" s="40">
        <f t="shared" si="3"/>
        <v>2.0588235294117645</v>
      </c>
      <c r="I7" s="41">
        <f>COUNTIF(Vertices[Out-Degree],"&gt;= "&amp;H7)-COUNTIF(Vertices[Out-Degree],"&gt;="&amp;H8)</f>
        <v>0</v>
      </c>
      <c r="J7" s="40">
        <f t="shared" si="4"/>
        <v>270.6617647058824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0.010990000000000002</v>
      </c>
      <c r="O7" s="41">
        <f>COUNTIF(Vertices[Eigenvector Centrality],"&gt;= "&amp;N7)-COUNTIF(Vertices[Eigenvector Centrality],"&gt;="&amp;N8)</f>
        <v>0</v>
      </c>
      <c r="P7" s="40">
        <f t="shared" si="7"/>
        <v>0.8791118823529415</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423</v>
      </c>
      <c r="D8" s="33">
        <f t="shared" si="1"/>
        <v>0</v>
      </c>
      <c r="E8" s="3">
        <f>COUNTIF(Vertices[Degree],"&gt;= "&amp;D8)-COUNTIF(Vertices[Degree],"&gt;="&amp;D9)</f>
        <v>0</v>
      </c>
      <c r="F8" s="38">
        <f t="shared" si="2"/>
        <v>5.647058823529412</v>
      </c>
      <c r="G8" s="39">
        <f>COUNTIF(Vertices[In-Degree],"&gt;= "&amp;F8)-COUNTIF(Vertices[In-Degree],"&gt;="&amp;F9)</f>
        <v>3</v>
      </c>
      <c r="H8" s="38">
        <f t="shared" si="3"/>
        <v>2.4705882352941173</v>
      </c>
      <c r="I8" s="39">
        <f>COUNTIF(Vertices[Out-Degree],"&gt;= "&amp;H8)-COUNTIF(Vertices[Out-Degree],"&gt;="&amp;H9)</f>
        <v>0</v>
      </c>
      <c r="J8" s="38">
        <f t="shared" si="4"/>
        <v>324.79411764705884</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0.013188000000000002</v>
      </c>
      <c r="O8" s="39">
        <f>COUNTIF(Vertices[Eigenvector Centrality],"&gt;= "&amp;N8)-COUNTIF(Vertices[Eigenvector Centrality],"&gt;="&amp;N9)</f>
        <v>0</v>
      </c>
      <c r="P8" s="38">
        <f t="shared" si="7"/>
        <v>0.9971560588235298</v>
      </c>
      <c r="Q8" s="39">
        <f>COUNTIF(Vertices[PageRank],"&gt;= "&amp;P8)-COUNTIF(Vertices[PageRank],"&gt;="&amp;P9)</f>
        <v>46</v>
      </c>
      <c r="R8" s="38">
        <f t="shared" si="8"/>
        <v>0.17647058823529413</v>
      </c>
      <c r="S8" s="44">
        <f>COUNTIF(Vertices[Clustering Coefficient],"&gt;= "&amp;R8)-COUNTIF(Vertices[Clustering Coefficient],"&gt;="&amp;R9)</f>
        <v>0</v>
      </c>
      <c r="T8" s="38" t="e">
        <f ca="1" t="shared" si="9"/>
        <v>#REF!</v>
      </c>
      <c r="U8" s="39" t="e">
        <f ca="1" t="shared" si="0"/>
        <v>#REF!</v>
      </c>
    </row>
    <row r="9" spans="1:21" ht="15">
      <c r="A9" s="114"/>
      <c r="B9" s="114"/>
      <c r="D9" s="33">
        <f t="shared" si="1"/>
        <v>0</v>
      </c>
      <c r="E9" s="3">
        <f>COUNTIF(Vertices[Degree],"&gt;= "&amp;D9)-COUNTIF(Vertices[Degree],"&gt;="&amp;D10)</f>
        <v>0</v>
      </c>
      <c r="F9" s="40">
        <f t="shared" si="2"/>
        <v>6.588235294117648</v>
      </c>
      <c r="G9" s="41">
        <f>COUNTIF(Vertices[In-Degree],"&gt;= "&amp;F9)-COUNTIF(Vertices[In-Degree],"&gt;="&amp;F10)</f>
        <v>0</v>
      </c>
      <c r="H9" s="40">
        <f t="shared" si="3"/>
        <v>2.88235294117647</v>
      </c>
      <c r="I9" s="41">
        <f>COUNTIF(Vertices[Out-Degree],"&gt;= "&amp;H9)-COUNTIF(Vertices[Out-Degree],"&gt;="&amp;H10)</f>
        <v>14</v>
      </c>
      <c r="J9" s="40">
        <f t="shared" si="4"/>
        <v>378.9264705882353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0.015386000000000002</v>
      </c>
      <c r="O9" s="41">
        <f>COUNTIF(Vertices[Eigenvector Centrality],"&gt;= "&amp;N9)-COUNTIF(Vertices[Eigenvector Centrality],"&gt;="&amp;N10)</f>
        <v>0</v>
      </c>
      <c r="P9" s="40">
        <f t="shared" si="7"/>
        <v>1.115200235294118</v>
      </c>
      <c r="Q9" s="41">
        <f>COUNTIF(Vertices[PageRank],"&gt;= "&amp;P9)-COUNTIF(Vertices[PageRank],"&gt;="&amp;P10)</f>
        <v>4</v>
      </c>
      <c r="R9" s="40">
        <f t="shared" si="8"/>
        <v>0.2058823529411765</v>
      </c>
      <c r="S9" s="45">
        <f>COUNTIF(Vertices[Clustering Coefficient],"&gt;= "&amp;R9)-COUNTIF(Vertices[Clustering Coefficient],"&gt;="&amp;R10)</f>
        <v>1</v>
      </c>
      <c r="T9" s="40" t="e">
        <f ca="1" t="shared" si="9"/>
        <v>#REF!</v>
      </c>
      <c r="U9" s="41" t="e">
        <f ca="1" t="shared" si="0"/>
        <v>#REF!</v>
      </c>
    </row>
    <row r="10" spans="1:21" ht="15">
      <c r="A10" s="35" t="s">
        <v>2742</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3.294117647058823</v>
      </c>
      <c r="I10" s="39">
        <f>COUNTIF(Vertices[Out-Degree],"&gt;= "&amp;H10)-COUNTIF(Vertices[Out-Degree],"&gt;="&amp;H11)</f>
        <v>0</v>
      </c>
      <c r="J10" s="38">
        <f t="shared" si="4"/>
        <v>433.05882352941177</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0.017584000000000002</v>
      </c>
      <c r="O10" s="39">
        <f>COUNTIF(Vertices[Eigenvector Centrality],"&gt;= "&amp;N10)-COUNTIF(Vertices[Eigenvector Centrality],"&gt;="&amp;N11)</f>
        <v>2</v>
      </c>
      <c r="P10" s="38">
        <f t="shared" si="7"/>
        <v>1.2332444117647061</v>
      </c>
      <c r="Q10" s="39">
        <f>COUNTIF(Vertices[PageRank],"&gt;= "&amp;P10)-COUNTIF(Vertices[PageRank],"&gt;="&amp;P11)</f>
        <v>5</v>
      </c>
      <c r="R10" s="38">
        <f t="shared" si="8"/>
        <v>0.23529411764705885</v>
      </c>
      <c r="S10" s="44">
        <f>COUNTIF(Vertices[Clustering Coefficient],"&gt;= "&amp;R10)-COUNTIF(Vertices[Clustering Coefficient],"&gt;="&amp;R11)</f>
        <v>6</v>
      </c>
      <c r="T10" s="38" t="e">
        <f ca="1" t="shared" si="9"/>
        <v>#REF!</v>
      </c>
      <c r="U10" s="39" t="e">
        <f ca="1" t="shared" si="0"/>
        <v>#REF!</v>
      </c>
    </row>
    <row r="11" spans="1:21" ht="15">
      <c r="A11" s="114"/>
      <c r="B11" s="114"/>
      <c r="D11" s="33">
        <f t="shared" si="1"/>
        <v>0</v>
      </c>
      <c r="E11" s="3">
        <f>COUNTIF(Vertices[Degree],"&gt;= "&amp;D11)-COUNTIF(Vertices[Degree],"&gt;="&amp;D12)</f>
        <v>0</v>
      </c>
      <c r="F11" s="40">
        <f t="shared" si="2"/>
        <v>8.470588235294118</v>
      </c>
      <c r="G11" s="41">
        <f>COUNTIF(Vertices[In-Degree],"&gt;= "&amp;F11)-COUNTIF(Vertices[In-Degree],"&gt;="&amp;F12)</f>
        <v>1</v>
      </c>
      <c r="H11" s="40">
        <f t="shared" si="3"/>
        <v>3.7058823529411757</v>
      </c>
      <c r="I11" s="41">
        <f>COUNTIF(Vertices[Out-Degree],"&gt;= "&amp;H11)-COUNTIF(Vertices[Out-Degree],"&gt;="&amp;H12)</f>
        <v>33</v>
      </c>
      <c r="J11" s="40">
        <f t="shared" si="4"/>
        <v>487.19117647058823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0.019782</v>
      </c>
      <c r="O11" s="41">
        <f>COUNTIF(Vertices[Eigenvector Centrality],"&gt;= "&amp;N11)-COUNTIF(Vertices[Eigenvector Centrality],"&gt;="&amp;N12)</f>
        <v>1</v>
      </c>
      <c r="P11" s="40">
        <f t="shared" si="7"/>
        <v>1.3512885882352943</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408</v>
      </c>
      <c r="B12" s="35">
        <v>88</v>
      </c>
      <c r="D12" s="33">
        <f t="shared" si="1"/>
        <v>0</v>
      </c>
      <c r="E12" s="3">
        <f>COUNTIF(Vertices[Degree],"&gt;= "&amp;D12)-COUNTIF(Vertices[Degree],"&gt;="&amp;D13)</f>
        <v>0</v>
      </c>
      <c r="F12" s="38">
        <f t="shared" si="2"/>
        <v>9.411764705882353</v>
      </c>
      <c r="G12" s="39">
        <f>COUNTIF(Vertices[In-Degree],"&gt;= "&amp;F12)-COUNTIF(Vertices[In-Degree],"&gt;="&amp;F13)</f>
        <v>1</v>
      </c>
      <c r="H12" s="38">
        <f t="shared" si="3"/>
        <v>4.117647058823529</v>
      </c>
      <c r="I12" s="39">
        <f>COUNTIF(Vertices[Out-Degree],"&gt;= "&amp;H12)-COUNTIF(Vertices[Out-Degree],"&gt;="&amp;H13)</f>
        <v>0</v>
      </c>
      <c r="J12" s="38">
        <f t="shared" si="4"/>
        <v>541.3235294117648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0.02198</v>
      </c>
      <c r="O12" s="39">
        <f>COUNTIF(Vertices[Eigenvector Centrality],"&gt;= "&amp;N12)-COUNTIF(Vertices[Eigenvector Centrality],"&gt;="&amp;N13)</f>
        <v>26</v>
      </c>
      <c r="P12" s="38">
        <f t="shared" si="7"/>
        <v>1.4693327647058825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407</v>
      </c>
      <c r="B13" s="35">
        <v>164</v>
      </c>
      <c r="D13" s="33">
        <f t="shared" si="1"/>
        <v>0</v>
      </c>
      <c r="E13" s="3">
        <f>COUNTIF(Vertices[Degree],"&gt;= "&amp;D13)-COUNTIF(Vertices[Degree],"&gt;="&amp;D14)</f>
        <v>0</v>
      </c>
      <c r="F13" s="40">
        <f t="shared" si="2"/>
        <v>10.352941176470589</v>
      </c>
      <c r="G13" s="41">
        <f>COUNTIF(Vertices[In-Degree],"&gt;= "&amp;F13)-COUNTIF(Vertices[In-Degree],"&gt;="&amp;F14)</f>
        <v>0</v>
      </c>
      <c r="H13" s="40">
        <f t="shared" si="3"/>
        <v>4.529411764705882</v>
      </c>
      <c r="I13" s="41">
        <f>COUNTIF(Vertices[Out-Degree],"&gt;= "&amp;H13)-COUNTIF(Vertices[Out-Degree],"&gt;="&amp;H14)</f>
        <v>0</v>
      </c>
      <c r="J13" s="40">
        <f t="shared" si="4"/>
        <v>595.4558823529412</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0.024177999999999998</v>
      </c>
      <c r="O13" s="41">
        <f>COUNTIF(Vertices[Eigenvector Centrality],"&gt;= "&amp;N13)-COUNTIF(Vertices[Eigenvector Centrality],"&gt;="&amp;N14)</f>
        <v>0</v>
      </c>
      <c r="P13" s="40">
        <f t="shared" si="7"/>
        <v>1.5873769411764707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409</v>
      </c>
      <c r="B14" s="35">
        <v>10</v>
      </c>
      <c r="D14" s="33">
        <f t="shared" si="1"/>
        <v>0</v>
      </c>
      <c r="E14" s="3">
        <f>COUNTIF(Vertices[Degree],"&gt;= "&amp;D14)-COUNTIF(Vertices[Degree],"&gt;="&amp;D15)</f>
        <v>0</v>
      </c>
      <c r="F14" s="38">
        <f t="shared" si="2"/>
        <v>11.294117647058824</v>
      </c>
      <c r="G14" s="39">
        <f>COUNTIF(Vertices[In-Degree],"&gt;= "&amp;F14)-COUNTIF(Vertices[In-Degree],"&gt;="&amp;F15)</f>
        <v>0</v>
      </c>
      <c r="H14" s="38">
        <f t="shared" si="3"/>
        <v>4.9411764705882355</v>
      </c>
      <c r="I14" s="39">
        <f>COUNTIF(Vertices[Out-Degree],"&gt;= "&amp;H14)-COUNTIF(Vertices[Out-Degree],"&gt;="&amp;H15)</f>
        <v>1</v>
      </c>
      <c r="J14" s="38">
        <f t="shared" si="4"/>
        <v>649.5882352941177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0.026375999999999997</v>
      </c>
      <c r="O14" s="39">
        <f>COUNTIF(Vertices[Eigenvector Centrality],"&gt;= "&amp;N14)-COUNTIF(Vertices[Eigenvector Centrality],"&gt;="&amp;N15)</f>
        <v>0</v>
      </c>
      <c r="P14" s="38">
        <f t="shared" si="7"/>
        <v>1.7054211176470588</v>
      </c>
      <c r="Q14" s="39">
        <f>COUNTIF(Vertices[PageRank],"&gt;= "&amp;P14)-COUNTIF(Vertices[PageRank],"&gt;="&amp;P15)</f>
        <v>4</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46</v>
      </c>
      <c r="D15" s="33">
        <f t="shared" si="1"/>
        <v>0</v>
      </c>
      <c r="E15" s="3">
        <f>COUNTIF(Vertices[Degree],"&gt;= "&amp;D15)-COUNTIF(Vertices[Degree],"&gt;="&amp;D16)</f>
        <v>0</v>
      </c>
      <c r="F15" s="40">
        <f t="shared" si="2"/>
        <v>12.23529411764706</v>
      </c>
      <c r="G15" s="41">
        <f>COUNTIF(Vertices[In-Degree],"&gt;= "&amp;F15)-COUNTIF(Vertices[In-Degree],"&gt;="&amp;F16)</f>
        <v>0</v>
      </c>
      <c r="H15" s="40">
        <f t="shared" si="3"/>
        <v>5.352941176470589</v>
      </c>
      <c r="I15" s="41">
        <f>COUNTIF(Vertices[Out-Degree],"&gt;= "&amp;H15)-COUNTIF(Vertices[Out-Degree],"&gt;="&amp;H16)</f>
        <v>0</v>
      </c>
      <c r="J15" s="40">
        <f t="shared" si="4"/>
        <v>703.7205882352941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0.028573999999999995</v>
      </c>
      <c r="O15" s="41">
        <f>COUNTIF(Vertices[Eigenvector Centrality],"&gt;= "&amp;N15)-COUNTIF(Vertices[Eigenvector Centrality],"&gt;="&amp;N16)</f>
        <v>1</v>
      </c>
      <c r="P15" s="40">
        <f t="shared" si="7"/>
        <v>1.823465294117647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406</v>
      </c>
      <c r="B16" s="35">
        <v>115</v>
      </c>
      <c r="D16" s="33">
        <f t="shared" si="1"/>
        <v>0</v>
      </c>
      <c r="E16" s="3">
        <f>COUNTIF(Vertices[Degree],"&gt;= "&amp;D16)-COUNTIF(Vertices[Degree],"&gt;="&amp;D17)</f>
        <v>0</v>
      </c>
      <c r="F16" s="38">
        <f t="shared" si="2"/>
        <v>13.176470588235295</v>
      </c>
      <c r="G16" s="39">
        <f>COUNTIF(Vertices[In-Degree],"&gt;= "&amp;F16)-COUNTIF(Vertices[In-Degree],"&gt;="&amp;F17)</f>
        <v>0</v>
      </c>
      <c r="H16" s="38">
        <f t="shared" si="3"/>
        <v>5.764705882352942</v>
      </c>
      <c r="I16" s="39">
        <f>COUNTIF(Vertices[Out-Degree],"&gt;= "&amp;H16)-COUNTIF(Vertices[Out-Degree],"&gt;="&amp;H17)</f>
        <v>0</v>
      </c>
      <c r="J16" s="38">
        <f t="shared" si="4"/>
        <v>757.8529411764706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0.030771999999999994</v>
      </c>
      <c r="O16" s="39">
        <f>COUNTIF(Vertices[Eigenvector Centrality],"&gt;= "&amp;N16)-COUNTIF(Vertices[Eigenvector Centrality],"&gt;="&amp;N17)</f>
        <v>0</v>
      </c>
      <c r="P16" s="38">
        <f t="shared" si="7"/>
        <v>1.9415094705882352</v>
      </c>
      <c r="Q16" s="39">
        <f>COUNTIF(Vertices[PageRank],"&gt;= "&amp;P16)-COUNTIF(Vertices[PageRank],"&gt;="&amp;P17)</f>
        <v>0</v>
      </c>
      <c r="R16" s="38">
        <f t="shared" si="8"/>
        <v>0.411764705882353</v>
      </c>
      <c r="S16" s="44">
        <f>COUNTIF(Vertices[Clustering Coefficient],"&gt;= "&amp;R16)-COUNTIF(Vertices[Clustering Coefficient],"&gt;="&amp;R17)</f>
        <v>25</v>
      </c>
      <c r="T16" s="38" t="e">
        <f ca="1" t="shared" si="9"/>
        <v>#REF!</v>
      </c>
      <c r="U16" s="39" t="e">
        <f ca="1" t="shared" si="0"/>
        <v>#REF!</v>
      </c>
    </row>
    <row r="17" spans="1:21" ht="15">
      <c r="A17" s="114"/>
      <c r="B17" s="114"/>
      <c r="D17" s="33">
        <f t="shared" si="1"/>
        <v>0</v>
      </c>
      <c r="E17" s="3">
        <f>COUNTIF(Vertices[Degree],"&gt;= "&amp;D17)-COUNTIF(Vertices[Degree],"&gt;="&amp;D18)</f>
        <v>0</v>
      </c>
      <c r="F17" s="40">
        <f t="shared" si="2"/>
        <v>14.11764705882353</v>
      </c>
      <c r="G17" s="41">
        <f>COUNTIF(Vertices[In-Degree],"&gt;= "&amp;F17)-COUNTIF(Vertices[In-Degree],"&gt;="&amp;F18)</f>
        <v>0</v>
      </c>
      <c r="H17" s="40">
        <f t="shared" si="3"/>
        <v>6.176470588235295</v>
      </c>
      <c r="I17" s="41">
        <f>COUNTIF(Vertices[Out-Degree],"&gt;= "&amp;H17)-COUNTIF(Vertices[Out-Degree],"&gt;="&amp;H18)</f>
        <v>0</v>
      </c>
      <c r="J17" s="40">
        <f t="shared" si="4"/>
        <v>811.9852941176471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0.03296999999999999</v>
      </c>
      <c r="O17" s="41">
        <f>COUNTIF(Vertices[Eigenvector Centrality],"&gt;= "&amp;N17)-COUNTIF(Vertices[Eigenvector Centrality],"&gt;="&amp;N18)</f>
        <v>0</v>
      </c>
      <c r="P17" s="40">
        <f t="shared" si="7"/>
        <v>2.0595536470588236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15.058823529411766</v>
      </c>
      <c r="G18" s="39">
        <f>COUNTIF(Vertices[In-Degree],"&gt;= "&amp;F18)-COUNTIF(Vertices[In-Degree],"&gt;="&amp;F19)</f>
        <v>0</v>
      </c>
      <c r="H18" s="38">
        <f t="shared" si="3"/>
        <v>6.5882352941176485</v>
      </c>
      <c r="I18" s="39">
        <f>COUNTIF(Vertices[Out-Degree],"&gt;= "&amp;H18)-COUNTIF(Vertices[Out-Degree],"&gt;="&amp;H19)</f>
        <v>0</v>
      </c>
      <c r="J18" s="38">
        <f t="shared" si="4"/>
        <v>866.1176470588235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0.03516799999999999</v>
      </c>
      <c r="O18" s="39">
        <f>COUNTIF(Vertices[Eigenvector Centrality],"&gt;= "&amp;N18)-COUNTIF(Vertices[Eigenvector Centrality],"&gt;="&amp;N19)</f>
        <v>0</v>
      </c>
      <c r="P18" s="38">
        <f t="shared" si="7"/>
        <v>2.177597823529412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4"/>
      <c r="B19" s="114"/>
      <c r="D19" s="33">
        <f t="shared" si="1"/>
        <v>0</v>
      </c>
      <c r="E19" s="3">
        <f>COUNTIF(Vertices[Degree],"&gt;= "&amp;D19)-COUNTIF(Vertices[Degree],"&gt;="&amp;D20)</f>
        <v>0</v>
      </c>
      <c r="F19" s="40">
        <f t="shared" si="2"/>
        <v>16</v>
      </c>
      <c r="G19" s="41">
        <f>COUNTIF(Vertices[In-Degree],"&gt;= "&amp;F19)-COUNTIF(Vertices[In-Degree],"&gt;="&amp;F20)</f>
        <v>0</v>
      </c>
      <c r="H19" s="40">
        <f t="shared" si="3"/>
        <v>7.000000000000002</v>
      </c>
      <c r="I19" s="41">
        <f>COUNTIF(Vertices[Out-Degree],"&gt;= "&amp;H19)-COUNTIF(Vertices[Out-Degree],"&gt;="&amp;H20)</f>
        <v>1</v>
      </c>
      <c r="J19" s="40">
        <f t="shared" si="4"/>
        <v>920.25</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0.03736599999999999</v>
      </c>
      <c r="O19" s="41">
        <f>COUNTIF(Vertices[Eigenvector Centrality],"&gt;= "&amp;N19)-COUNTIF(Vertices[Eigenvector Centrality],"&gt;="&amp;N20)</f>
        <v>0</v>
      </c>
      <c r="P19" s="40">
        <f t="shared" si="7"/>
        <v>2.295642</v>
      </c>
      <c r="Q19" s="41">
        <f>COUNTIF(Vertices[PageRank],"&gt;= "&amp;P19)-COUNTIF(Vertices[PageRank],"&gt;="&amp;P20)</f>
        <v>3</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0.015748031496062992</v>
      </c>
      <c r="D20" s="33">
        <f t="shared" si="1"/>
        <v>0</v>
      </c>
      <c r="E20" s="3">
        <f>COUNTIF(Vertices[Degree],"&gt;= "&amp;D20)-COUNTIF(Vertices[Degree],"&gt;="&amp;D21)</f>
        <v>0</v>
      </c>
      <c r="F20" s="38">
        <f t="shared" si="2"/>
        <v>16.941176470588236</v>
      </c>
      <c r="G20" s="39">
        <f>COUNTIF(Vertices[In-Degree],"&gt;= "&amp;F20)-COUNTIF(Vertices[In-Degree],"&gt;="&amp;F21)</f>
        <v>0</v>
      </c>
      <c r="H20" s="38">
        <f t="shared" si="3"/>
        <v>7.411764705882355</v>
      </c>
      <c r="I20" s="39">
        <f>COUNTIF(Vertices[Out-Degree],"&gt;= "&amp;H20)-COUNTIF(Vertices[Out-Degree],"&gt;="&amp;H21)</f>
        <v>0</v>
      </c>
      <c r="J20" s="38">
        <f t="shared" si="4"/>
        <v>974.3823529411765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0.03956399999999999</v>
      </c>
      <c r="O20" s="39">
        <f>COUNTIF(Vertices[Eigenvector Centrality],"&gt;= "&amp;N20)-COUNTIF(Vertices[Eigenvector Centrality],"&gt;="&amp;N21)</f>
        <v>0</v>
      </c>
      <c r="P20" s="38">
        <f t="shared" si="7"/>
        <v>2.413686176470588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0.031007751937984496</v>
      </c>
      <c r="D21" s="33">
        <f t="shared" si="1"/>
        <v>0</v>
      </c>
      <c r="E21" s="3">
        <f>COUNTIF(Vertices[Degree],"&gt;= "&amp;D21)-COUNTIF(Vertices[Degree],"&gt;="&amp;D22)</f>
        <v>0</v>
      </c>
      <c r="F21" s="40">
        <f t="shared" si="2"/>
        <v>17.88235294117647</v>
      </c>
      <c r="G21" s="41">
        <f>COUNTIF(Vertices[In-Degree],"&gt;= "&amp;F21)-COUNTIF(Vertices[In-Degree],"&gt;="&amp;F22)</f>
        <v>0</v>
      </c>
      <c r="H21" s="40">
        <f t="shared" si="3"/>
        <v>7.823529411764708</v>
      </c>
      <c r="I21" s="41">
        <f>COUNTIF(Vertices[Out-Degree],"&gt;= "&amp;H21)-COUNTIF(Vertices[Out-Degree],"&gt;="&amp;H22)</f>
        <v>0</v>
      </c>
      <c r="J21" s="40">
        <f t="shared" si="4"/>
        <v>1028.514705882353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0.04176199999999999</v>
      </c>
      <c r="O21" s="41">
        <f>COUNTIF(Vertices[Eigenvector Centrality],"&gt;= "&amp;N21)-COUNTIF(Vertices[Eigenvector Centrality],"&gt;="&amp;N22)</f>
        <v>0</v>
      </c>
      <c r="P21" s="40">
        <f t="shared" si="7"/>
        <v>2.5317303529411763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4"/>
      <c r="B22" s="114"/>
      <c r="D22" s="33">
        <f t="shared" si="1"/>
        <v>0</v>
      </c>
      <c r="E22" s="3">
        <f>COUNTIF(Vertices[Degree],"&gt;= "&amp;D22)-COUNTIF(Vertices[Degree],"&gt;="&amp;D23)</f>
        <v>0</v>
      </c>
      <c r="F22" s="38">
        <f t="shared" si="2"/>
        <v>18.823529411764707</v>
      </c>
      <c r="G22" s="39">
        <f>COUNTIF(Vertices[In-Degree],"&gt;= "&amp;F22)-COUNTIF(Vertices[In-Degree],"&gt;="&amp;F23)</f>
        <v>0</v>
      </c>
      <c r="H22" s="38">
        <f t="shared" si="3"/>
        <v>8.235294117647062</v>
      </c>
      <c r="I22" s="39">
        <f>COUNTIF(Vertices[Out-Degree],"&gt;= "&amp;H22)-COUNTIF(Vertices[Out-Degree],"&gt;="&amp;H23)</f>
        <v>0</v>
      </c>
      <c r="J22" s="38">
        <f t="shared" si="4"/>
        <v>1082.6470588235295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0.043959999999999985</v>
      </c>
      <c r="O22" s="39">
        <f>COUNTIF(Vertices[Eigenvector Centrality],"&gt;= "&amp;N22)-COUNTIF(Vertices[Eigenvector Centrality],"&gt;="&amp;N23)</f>
        <v>0</v>
      </c>
      <c r="P22" s="38">
        <f t="shared" si="7"/>
        <v>2.6497745294117645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19.764705882352942</v>
      </c>
      <c r="G23" s="41">
        <f>COUNTIF(Vertices[In-Degree],"&gt;= "&amp;F23)-COUNTIF(Vertices[In-Degree],"&gt;="&amp;F24)</f>
        <v>0</v>
      </c>
      <c r="H23" s="40">
        <f t="shared" si="3"/>
        <v>8.647058823529415</v>
      </c>
      <c r="I23" s="41">
        <f>COUNTIF(Vertices[Out-Degree],"&gt;= "&amp;H23)-COUNTIF(Vertices[Out-Degree],"&gt;="&amp;H24)</f>
        <v>0</v>
      </c>
      <c r="J23" s="40">
        <f t="shared" si="4"/>
        <v>1136.779411764706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0.046157999999999984</v>
      </c>
      <c r="O23" s="41">
        <f>COUNTIF(Vertices[Eigenvector Centrality],"&gt;= "&amp;N23)-COUNTIF(Vertices[Eigenvector Centrality],"&gt;="&amp;N24)</f>
        <v>0</v>
      </c>
      <c r="P23" s="40">
        <f t="shared" si="7"/>
        <v>2.7678187058823527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20.705882352941178</v>
      </c>
      <c r="G24" s="39">
        <f>COUNTIF(Vertices[In-Degree],"&gt;= "&amp;F24)-COUNTIF(Vertices[In-Degree],"&gt;="&amp;F25)</f>
        <v>0</v>
      </c>
      <c r="H24" s="38">
        <f t="shared" si="3"/>
        <v>9.058823529411768</v>
      </c>
      <c r="I24" s="39">
        <f>COUNTIF(Vertices[Out-Degree],"&gt;= "&amp;H24)-COUNTIF(Vertices[Out-Degree],"&gt;="&amp;H25)</f>
        <v>0</v>
      </c>
      <c r="J24" s="38">
        <f t="shared" si="4"/>
        <v>1190.9117647058827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0.04835599999999998</v>
      </c>
      <c r="O24" s="39">
        <f>COUNTIF(Vertices[Eigenvector Centrality],"&gt;= "&amp;N24)-COUNTIF(Vertices[Eigenvector Centrality],"&gt;="&amp;N25)</f>
        <v>0</v>
      </c>
      <c r="P24" s="38">
        <f t="shared" si="7"/>
        <v>2.885862882352941</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21.647058823529413</v>
      </c>
      <c r="G25" s="41">
        <f>COUNTIF(Vertices[In-Degree],"&gt;= "&amp;F25)-COUNTIF(Vertices[In-Degree],"&gt;="&amp;F26)</f>
        <v>0</v>
      </c>
      <c r="H25" s="40">
        <f t="shared" si="3"/>
        <v>9.470588235294121</v>
      </c>
      <c r="I25" s="41">
        <f>COUNTIF(Vertices[Out-Degree],"&gt;= "&amp;H25)-COUNTIF(Vertices[Out-Degree],"&gt;="&amp;H26)</f>
        <v>0</v>
      </c>
      <c r="J25" s="40">
        <f t="shared" si="4"/>
        <v>1245.0441176470592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0.05055399999999998</v>
      </c>
      <c r="O25" s="41">
        <f>COUNTIF(Vertices[Eigenvector Centrality],"&gt;= "&amp;N25)-COUNTIF(Vertices[Eigenvector Centrality],"&gt;="&amp;N26)</f>
        <v>0</v>
      </c>
      <c r="P25" s="40">
        <f t="shared" si="7"/>
        <v>3.003907058823529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286</v>
      </c>
      <c r="D26" s="33">
        <f t="shared" si="1"/>
        <v>0</v>
      </c>
      <c r="E26" s="3">
        <f>COUNTIF(Vertices[Degree],"&gt;= "&amp;D26)-COUNTIF(Vertices[Degree],"&gt;="&amp;D27)</f>
        <v>0</v>
      </c>
      <c r="F26" s="38">
        <f t="shared" si="2"/>
        <v>22.58823529411765</v>
      </c>
      <c r="G26" s="39">
        <f>COUNTIF(Vertices[In-Degree],"&gt;= "&amp;F26)-COUNTIF(Vertices[In-Degree],"&gt;="&amp;F27)</f>
        <v>0</v>
      </c>
      <c r="H26" s="38">
        <f t="shared" si="3"/>
        <v>9.882352941176475</v>
      </c>
      <c r="I26" s="39">
        <f>COUNTIF(Vertices[Out-Degree],"&gt;= "&amp;H26)-COUNTIF(Vertices[Out-Degree],"&gt;="&amp;H27)</f>
        <v>0</v>
      </c>
      <c r="J26" s="38">
        <f t="shared" si="4"/>
        <v>1299.1764705882358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0.05275199999999998</v>
      </c>
      <c r="O26" s="39">
        <f>COUNTIF(Vertices[Eigenvector Centrality],"&gt;= "&amp;N26)-COUNTIF(Vertices[Eigenvector Centrality],"&gt;="&amp;N27)</f>
        <v>0</v>
      </c>
      <c r="P26" s="38">
        <f t="shared" si="7"/>
        <v>3.121951235294117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23.529411764705884</v>
      </c>
      <c r="G27" s="41">
        <f>COUNTIF(Vertices[In-Degree],"&gt;= "&amp;F27)-COUNTIF(Vertices[In-Degree],"&gt;="&amp;F28)</f>
        <v>0</v>
      </c>
      <c r="H27" s="40">
        <f t="shared" si="3"/>
        <v>10.294117647058828</v>
      </c>
      <c r="I27" s="41">
        <f>COUNTIF(Vertices[Out-Degree],"&gt;= "&amp;H27)-COUNTIF(Vertices[Out-Degree],"&gt;="&amp;H28)</f>
        <v>0</v>
      </c>
      <c r="J27" s="40">
        <f t="shared" si="4"/>
        <v>1353.3088235294124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0.05494999999999998</v>
      </c>
      <c r="O27" s="41">
        <f>COUNTIF(Vertices[Eigenvector Centrality],"&gt;= "&amp;N27)-COUNTIF(Vertices[Eigenvector Centrality],"&gt;="&amp;N28)</f>
        <v>0</v>
      </c>
      <c r="P27" s="40">
        <f t="shared" si="7"/>
        <v>3.2399954117647054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24.47058823529412</v>
      </c>
      <c r="G28" s="39">
        <f>COUNTIF(Vertices[In-Degree],"&gt;= "&amp;F28)-COUNTIF(Vertices[In-Degree],"&gt;="&amp;F29)</f>
        <v>0</v>
      </c>
      <c r="H28" s="38">
        <f t="shared" si="3"/>
        <v>10.705882352941181</v>
      </c>
      <c r="I28" s="39">
        <f>COUNTIF(Vertices[Out-Degree],"&gt;= "&amp;H28)-COUNTIF(Vertices[Out-Degree],"&gt;="&amp;H29)</f>
        <v>0</v>
      </c>
      <c r="J28" s="38">
        <f t="shared" si="4"/>
        <v>1407.441176470589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0.05714799999999998</v>
      </c>
      <c r="O28" s="39">
        <f>COUNTIF(Vertices[Eigenvector Centrality],"&gt;= "&amp;N28)-COUNTIF(Vertices[Eigenvector Centrality],"&gt;="&amp;N29)</f>
        <v>0</v>
      </c>
      <c r="P28" s="38">
        <f t="shared" si="7"/>
        <v>3.3580395882352936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2.500767</v>
      </c>
      <c r="D29" s="33">
        <f t="shared" si="1"/>
        <v>0</v>
      </c>
      <c r="E29" s="3">
        <f>COUNTIF(Vertices[Degree],"&gt;= "&amp;D29)-COUNTIF(Vertices[Degree],"&gt;="&amp;D30)</f>
        <v>0</v>
      </c>
      <c r="F29" s="40">
        <f t="shared" si="2"/>
        <v>25.411764705882355</v>
      </c>
      <c r="G29" s="41">
        <f>COUNTIF(Vertices[In-Degree],"&gt;= "&amp;F29)-COUNTIF(Vertices[In-Degree],"&gt;="&amp;F30)</f>
        <v>0</v>
      </c>
      <c r="H29" s="40">
        <f t="shared" si="3"/>
        <v>11.117647058823534</v>
      </c>
      <c r="I29" s="41">
        <f>COUNTIF(Vertices[Out-Degree],"&gt;= "&amp;H29)-COUNTIF(Vertices[Out-Degree],"&gt;="&amp;H30)</f>
        <v>0</v>
      </c>
      <c r="J29" s="40">
        <f t="shared" si="4"/>
        <v>1461.5735294117655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0.059345999999999975</v>
      </c>
      <c r="O29" s="41">
        <f>COUNTIF(Vertices[Eigenvector Centrality],"&gt;= "&amp;N29)-COUNTIF(Vertices[Eigenvector Centrality],"&gt;="&amp;N30)</f>
        <v>0</v>
      </c>
      <c r="P29" s="40">
        <f t="shared" si="7"/>
        <v>3.4760837647058818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4"/>
      <c r="B30" s="114"/>
      <c r="D30" s="33">
        <f t="shared" si="1"/>
        <v>0</v>
      </c>
      <c r="E30" s="3">
        <f>COUNTIF(Vertices[Degree],"&gt;= "&amp;D30)-COUNTIF(Vertices[Degree],"&gt;="&amp;D31)</f>
        <v>0</v>
      </c>
      <c r="F30" s="38">
        <f t="shared" si="2"/>
        <v>26.35294117647059</v>
      </c>
      <c r="G30" s="39">
        <f>COUNTIF(Vertices[In-Degree],"&gt;= "&amp;F30)-COUNTIF(Vertices[In-Degree],"&gt;="&amp;F31)</f>
        <v>1</v>
      </c>
      <c r="H30" s="38">
        <f t="shared" si="3"/>
        <v>11.529411764705888</v>
      </c>
      <c r="I30" s="39">
        <f>COUNTIF(Vertices[Out-Degree],"&gt;= "&amp;H30)-COUNTIF(Vertices[Out-Degree],"&gt;="&amp;H31)</f>
        <v>0</v>
      </c>
      <c r="J30" s="38">
        <f t="shared" si="4"/>
        <v>1515.7058823529421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0.061543999999999974</v>
      </c>
      <c r="O30" s="39">
        <f>COUNTIF(Vertices[Eigenvector Centrality],"&gt;= "&amp;N30)-COUNTIF(Vertices[Eigenvector Centrality],"&gt;="&amp;N31)</f>
        <v>0</v>
      </c>
      <c r="P30" s="38">
        <f t="shared" si="7"/>
        <v>3.59412794117647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0.008771929824561403</v>
      </c>
      <c r="D31" s="33">
        <f t="shared" si="1"/>
        <v>0</v>
      </c>
      <c r="E31" s="3">
        <f>COUNTIF(Vertices[Degree],"&gt;= "&amp;D31)-COUNTIF(Vertices[Degree],"&gt;="&amp;D32)</f>
        <v>0</v>
      </c>
      <c r="F31" s="40">
        <f t="shared" si="2"/>
        <v>27.294117647058826</v>
      </c>
      <c r="G31" s="41">
        <f>COUNTIF(Vertices[In-Degree],"&gt;= "&amp;F31)-COUNTIF(Vertices[In-Degree],"&gt;="&amp;F32)</f>
        <v>0</v>
      </c>
      <c r="H31" s="40">
        <f t="shared" si="3"/>
        <v>11.94117647058824</v>
      </c>
      <c r="I31" s="41">
        <f>COUNTIF(Vertices[Out-Degree],"&gt;= "&amp;H31)-COUNTIF(Vertices[Out-Degree],"&gt;="&amp;H32)</f>
        <v>0</v>
      </c>
      <c r="J31" s="40">
        <f t="shared" si="4"/>
        <v>1569.8382352941187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0.06374199999999998</v>
      </c>
      <c r="O31" s="41">
        <f>COUNTIF(Vertices[Eigenvector Centrality],"&gt;= "&amp;N31)-COUNTIF(Vertices[Eigenvector Centrality],"&gt;="&amp;N32)</f>
        <v>0</v>
      </c>
      <c r="P31" s="40">
        <f t="shared" si="7"/>
        <v>3.712172117647058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2743</v>
      </c>
      <c r="B32" s="35">
        <v>0.535116</v>
      </c>
      <c r="D32" s="33">
        <f t="shared" si="1"/>
        <v>0</v>
      </c>
      <c r="E32" s="3">
        <f>COUNTIF(Vertices[Degree],"&gt;= "&amp;D32)-COUNTIF(Vertices[Degree],"&gt;="&amp;D33)</f>
        <v>0</v>
      </c>
      <c r="F32" s="38">
        <f t="shared" si="2"/>
        <v>28.23529411764706</v>
      </c>
      <c r="G32" s="39">
        <f>COUNTIF(Vertices[In-Degree],"&gt;= "&amp;F32)-COUNTIF(Vertices[In-Degree],"&gt;="&amp;F33)</f>
        <v>0</v>
      </c>
      <c r="H32" s="38">
        <f t="shared" si="3"/>
        <v>12.352941176470594</v>
      </c>
      <c r="I32" s="39">
        <f>COUNTIF(Vertices[Out-Degree],"&gt;= "&amp;H32)-COUNTIF(Vertices[Out-Degree],"&gt;="&amp;H33)</f>
        <v>0</v>
      </c>
      <c r="J32" s="38">
        <f t="shared" si="4"/>
        <v>1623.9705882352953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0.06593999999999998</v>
      </c>
      <c r="O32" s="39">
        <f>COUNTIF(Vertices[Eigenvector Centrality],"&gt;= "&amp;N32)-COUNTIF(Vertices[Eigenvector Centrality],"&gt;="&amp;N33)</f>
        <v>1</v>
      </c>
      <c r="P32" s="38">
        <f t="shared" si="7"/>
        <v>3.8302162941176463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4"/>
      <c r="B33" s="114"/>
      <c r="D33" s="33">
        <f t="shared" si="1"/>
        <v>0</v>
      </c>
      <c r="E33" s="3">
        <f>COUNTIF(Vertices[Degree],"&gt;= "&amp;D33)-COUNTIF(Vertices[Degree],"&gt;="&amp;D34)</f>
        <v>0</v>
      </c>
      <c r="F33" s="40">
        <f t="shared" si="2"/>
        <v>29.176470588235297</v>
      </c>
      <c r="G33" s="41">
        <f>COUNTIF(Vertices[In-Degree],"&gt;= "&amp;F33)-COUNTIF(Vertices[In-Degree],"&gt;="&amp;F34)</f>
        <v>0</v>
      </c>
      <c r="H33" s="40">
        <f t="shared" si="3"/>
        <v>12.764705882352947</v>
      </c>
      <c r="I33" s="41">
        <f>COUNTIF(Vertices[Out-Degree],"&gt;= "&amp;H33)-COUNTIF(Vertices[Out-Degree],"&gt;="&amp;H34)</f>
        <v>0</v>
      </c>
      <c r="J33" s="40">
        <f t="shared" si="4"/>
        <v>1678.1029411764719</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0.06813799999999999</v>
      </c>
      <c r="O33" s="41">
        <f>COUNTIF(Vertices[Eigenvector Centrality],"&gt;= "&amp;N33)-COUNTIF(Vertices[Eigenvector Centrality],"&gt;="&amp;N34)</f>
        <v>2</v>
      </c>
      <c r="P33" s="40">
        <f t="shared" si="7"/>
        <v>3.9482604705882345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2744</v>
      </c>
      <c r="B34" s="35" t="s">
        <v>2759</v>
      </c>
      <c r="D34" s="33">
        <f t="shared" si="1"/>
        <v>0</v>
      </c>
      <c r="E34" s="3">
        <f>COUNTIF(Vertices[Degree],"&gt;= "&amp;D34)-COUNTIF(Vertices[Degree],"&gt;="&amp;D35)</f>
        <v>0</v>
      </c>
      <c r="F34" s="38">
        <f t="shared" si="2"/>
        <v>30.117647058823533</v>
      </c>
      <c r="G34" s="39">
        <f>COUNTIF(Vertices[In-Degree],"&gt;= "&amp;F34)-COUNTIF(Vertices[In-Degree],"&gt;="&amp;F35)</f>
        <v>1</v>
      </c>
      <c r="H34" s="38">
        <f t="shared" si="3"/>
        <v>13.1764705882353</v>
      </c>
      <c r="I34" s="39">
        <f>COUNTIF(Vertices[Out-Degree],"&gt;= "&amp;H34)-COUNTIF(Vertices[Out-Degree],"&gt;="&amp;H35)</f>
        <v>0</v>
      </c>
      <c r="J34" s="38">
        <f t="shared" si="4"/>
        <v>1732.2352941176484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0.070336</v>
      </c>
      <c r="O34" s="39">
        <f>COUNTIF(Vertices[Eigenvector Centrality],"&gt;= "&amp;N34)-COUNTIF(Vertices[Eigenvector Centrality],"&gt;="&amp;N35)</f>
        <v>0</v>
      </c>
      <c r="P34" s="38">
        <f t="shared" si="7"/>
        <v>4.066304647058823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4"/>
      <c r="B35" s="114"/>
      <c r="D35" s="33">
        <f t="shared" si="1"/>
        <v>0</v>
      </c>
      <c r="E35" s="3">
        <f>COUNTIF(Vertices[Degree],"&gt;= "&amp;D35)-COUNTIF(Vertices[Degree],"&gt;="&amp;D36)</f>
        <v>0</v>
      </c>
      <c r="F35" s="40">
        <f t="shared" si="2"/>
        <v>31.058823529411768</v>
      </c>
      <c r="G35" s="41">
        <f>COUNTIF(Vertices[In-Degree],"&gt;= "&amp;F35)-COUNTIF(Vertices[In-Degree],"&gt;="&amp;F36)</f>
        <v>0</v>
      </c>
      <c r="H35" s="40">
        <f t="shared" si="3"/>
        <v>13.588235294117654</v>
      </c>
      <c r="I35" s="41">
        <f>COUNTIF(Vertices[Out-Degree],"&gt;= "&amp;H35)-COUNTIF(Vertices[Out-Degree],"&gt;="&amp;H36)</f>
        <v>0</v>
      </c>
      <c r="J35" s="40">
        <f t="shared" si="4"/>
        <v>1786.367647058825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0.072534</v>
      </c>
      <c r="O35" s="41">
        <f>COUNTIF(Vertices[Eigenvector Centrality],"&gt;= "&amp;N35)-COUNTIF(Vertices[Eigenvector Centrality],"&gt;="&amp;N36)</f>
        <v>0</v>
      </c>
      <c r="P35" s="40">
        <f t="shared" si="7"/>
        <v>4.184348823529412</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2745</v>
      </c>
      <c r="B36" s="35" t="s">
        <v>2870</v>
      </c>
      <c r="D36" s="33">
        <f>MAX(Vertices[Degree])</f>
        <v>0</v>
      </c>
      <c r="E36" s="3">
        <f>COUNTIF(Vertices[Degree],"&gt;= "&amp;D36)-COUNTIF(Vertices[Degree],"&gt;="&amp;#REF!)</f>
        <v>0</v>
      </c>
      <c r="F36" s="42">
        <f>MAX(Vertices[In-Degree])</f>
        <v>32</v>
      </c>
      <c r="G36" s="43">
        <f>COUNTIF(Vertices[In-Degree],"&gt;= "&amp;F36)-COUNTIF(Vertices[In-Degree],"&gt;="&amp;#REF!)</f>
        <v>2</v>
      </c>
      <c r="H36" s="42">
        <f>MAX(Vertices[Out-Degree])</f>
        <v>14</v>
      </c>
      <c r="I36" s="43">
        <f>COUNTIF(Vertices[Out-Degree],"&gt;= "&amp;H36)-COUNTIF(Vertices[Out-Degree],"&gt;="&amp;#REF!)</f>
        <v>1</v>
      </c>
      <c r="J36" s="42">
        <f>MAX(Vertices[Betweenness Centrality])</f>
        <v>1840.5</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0.074732</v>
      </c>
      <c r="O36" s="43">
        <f>COUNTIF(Vertices[Eigenvector Centrality],"&gt;= "&amp;N36)-COUNTIF(Vertices[Eigenvector Centrality],"&gt;="&amp;#REF!)</f>
        <v>1</v>
      </c>
      <c r="P36" s="42">
        <f>MAX(Vertices[PageRank])</f>
        <v>4.302393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2746</v>
      </c>
      <c r="B37" s="35" t="s">
        <v>2871</v>
      </c>
    </row>
    <row r="38" spans="1:2" ht="15">
      <c r="A38" s="114"/>
      <c r="B38" s="114"/>
    </row>
    <row r="39" spans="1:2" ht="15">
      <c r="A39" s="35" t="s">
        <v>2747</v>
      </c>
      <c r="B39" s="35" t="s">
        <v>2865</v>
      </c>
    </row>
    <row r="40" spans="1:2" ht="15">
      <c r="A40" s="35" t="s">
        <v>2748</v>
      </c>
      <c r="B40" s="35" t="s">
        <v>2866</v>
      </c>
    </row>
    <row r="41" spans="1:2" ht="409.5">
      <c r="A41" s="35" t="s">
        <v>2749</v>
      </c>
      <c r="B41" s="54" t="s">
        <v>2867</v>
      </c>
    </row>
    <row r="42" spans="1:2" ht="15">
      <c r="A42" s="35" t="s">
        <v>2750</v>
      </c>
      <c r="B42" s="35" t="s">
        <v>2868</v>
      </c>
    </row>
    <row r="43" spans="1:2" ht="15">
      <c r="A43" s="35" t="s">
        <v>2751</v>
      </c>
      <c r="B43" s="35" t="s">
        <v>2869</v>
      </c>
    </row>
    <row r="44" spans="1:2" ht="15">
      <c r="A44" s="35" t="s">
        <v>2752</v>
      </c>
      <c r="B44" s="35" t="s">
        <v>1776</v>
      </c>
    </row>
    <row r="45" spans="1:2" ht="15">
      <c r="A45" s="35" t="s">
        <v>2753</v>
      </c>
      <c r="B45" s="35" t="s">
        <v>1776</v>
      </c>
    </row>
    <row r="46" spans="1:2" ht="15">
      <c r="A46" s="35" t="s">
        <v>2754</v>
      </c>
      <c r="B46" s="35" t="s">
        <v>1776</v>
      </c>
    </row>
    <row r="47" spans="1:2" ht="15">
      <c r="A47" s="35" t="s">
        <v>2755</v>
      </c>
      <c r="B47" s="35"/>
    </row>
    <row r="48" spans="1:2" ht="15">
      <c r="A48" s="35" t="s">
        <v>21</v>
      </c>
      <c r="B48" s="35"/>
    </row>
    <row r="49" spans="1:2" ht="15">
      <c r="A49" s="35" t="s">
        <v>2756</v>
      </c>
      <c r="B49" s="35" t="s">
        <v>999</v>
      </c>
    </row>
    <row r="50" spans="1:2" ht="15">
      <c r="A50" s="35" t="s">
        <v>2757</v>
      </c>
      <c r="B50" s="35"/>
    </row>
    <row r="51" spans="1:2" ht="15">
      <c r="A51" s="35" t="s">
        <v>2758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1.7267441860465116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1.7267441860465116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1840.5</v>
      </c>
    </row>
    <row r="111" spans="1:2" ht="15">
      <c r="A111" s="34" t="s">
        <v>102</v>
      </c>
      <c r="B111" s="48">
        <f>_xlfn.IFERROR(AVERAGE(Vertices[Betweenness Centrality]),NoMetricMessage)</f>
        <v>35.116279063953485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0.20654957558139536</v>
      </c>
    </row>
    <row r="126" spans="1:2" ht="15">
      <c r="A126" s="34" t="s">
        <v>109</v>
      </c>
      <c r="B126" s="48">
        <f>_xlfn.IFERROR(MEDIAN(Vertices[Closeness Centrality]),NoMetricMessage)</f>
        <v>0.045455</v>
      </c>
    </row>
    <row r="137" spans="1:2" ht="15">
      <c r="A137" s="34" t="s">
        <v>112</v>
      </c>
      <c r="B137" s="48">
        <f>IF(COUNT(Vertices[Eigenvector Centrality])&gt;0,N2,NoMetricMessage)</f>
        <v>0</v>
      </c>
    </row>
    <row r="138" spans="1:2" ht="15">
      <c r="A138" s="34" t="s">
        <v>113</v>
      </c>
      <c r="B138" s="48">
        <f>IF(COUNT(Vertices[Eigenvector Centrality])&gt;0,N36,NoMetricMessage)</f>
        <v>0.074732</v>
      </c>
    </row>
    <row r="139" spans="1:2" ht="15">
      <c r="A139" s="34" t="s">
        <v>114</v>
      </c>
      <c r="B139" s="48">
        <f>_xlfn.IFERROR(AVERAGE(Vertices[Eigenvector Centrality]),NoMetricMessage)</f>
        <v>0.005813906976744184</v>
      </c>
    </row>
    <row r="140" spans="1:2" ht="15">
      <c r="A140" s="34" t="s">
        <v>115</v>
      </c>
      <c r="B140" s="48">
        <f>_xlfn.IFERROR(MEDIAN(Vertices[Eigenvector Centrality]),NoMetricMessage)</f>
        <v>0</v>
      </c>
    </row>
    <row r="151" spans="1:2" ht="15">
      <c r="A151" s="34" t="s">
        <v>140</v>
      </c>
      <c r="B151" s="48">
        <f>IF(COUNT(Vertices[PageRank])&gt;0,P2,NoMetricMessage)</f>
        <v>0.288891</v>
      </c>
    </row>
    <row r="152" spans="1:2" ht="15">
      <c r="A152" s="34" t="s">
        <v>141</v>
      </c>
      <c r="B152" s="48">
        <f>IF(COUNT(Vertices[PageRank])&gt;0,P36,NoMetricMessage)</f>
        <v>4.302393</v>
      </c>
    </row>
    <row r="153" spans="1:2" ht="15">
      <c r="A153" s="34" t="s">
        <v>142</v>
      </c>
      <c r="B153" s="48">
        <f>_xlfn.IFERROR(AVERAGE(Vertices[PageRank]),NoMetricMessage)</f>
        <v>0.9999969302325578</v>
      </c>
    </row>
    <row r="154" spans="1:2" ht="15">
      <c r="A154" s="34" t="s">
        <v>143</v>
      </c>
      <c r="B154" s="48">
        <f>_xlfn.IFERROR(MEDIAN(Vertices[PageRank]),NoMetricMessage)</f>
        <v>0.841226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0.19610904147837144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1774</v>
      </c>
    </row>
    <row r="6" spans="1:18" ht="409.5">
      <c r="A6">
        <v>0</v>
      </c>
      <c r="B6" s="1" t="s">
        <v>136</v>
      </c>
      <c r="C6">
        <v>1</v>
      </c>
      <c r="D6" t="s">
        <v>59</v>
      </c>
      <c r="E6" t="s">
        <v>59</v>
      </c>
      <c r="F6">
        <v>0</v>
      </c>
      <c r="H6" t="s">
        <v>71</v>
      </c>
      <c r="J6" t="s">
        <v>173</v>
      </c>
      <c r="K6" s="13" t="s">
        <v>1775</v>
      </c>
      <c r="R6" t="s">
        <v>129</v>
      </c>
    </row>
    <row r="7" spans="1:11" ht="409.5">
      <c r="A7">
        <v>2</v>
      </c>
      <c r="B7">
        <v>1</v>
      </c>
      <c r="C7">
        <v>0</v>
      </c>
      <c r="D7" t="s">
        <v>60</v>
      </c>
      <c r="E7" t="s">
        <v>60</v>
      </c>
      <c r="F7">
        <v>2</v>
      </c>
      <c r="H7" t="s">
        <v>72</v>
      </c>
      <c r="J7" t="s">
        <v>174</v>
      </c>
      <c r="K7" s="13" t="s">
        <v>2849</v>
      </c>
    </row>
    <row r="8" spans="1:11" ht="409.5">
      <c r="A8"/>
      <c r="B8">
        <v>2</v>
      </c>
      <c r="C8">
        <v>2</v>
      </c>
      <c r="D8" t="s">
        <v>61</v>
      </c>
      <c r="E8" t="s">
        <v>61</v>
      </c>
      <c r="H8" t="s">
        <v>73</v>
      </c>
      <c r="J8" t="s">
        <v>175</v>
      </c>
      <c r="K8" s="13" t="s">
        <v>2850</v>
      </c>
    </row>
    <row r="9" spans="1:11" ht="409.5">
      <c r="A9"/>
      <c r="B9">
        <v>3</v>
      </c>
      <c r="C9">
        <v>4</v>
      </c>
      <c r="D9" t="s">
        <v>62</v>
      </c>
      <c r="E9" t="s">
        <v>62</v>
      </c>
      <c r="H9" t="s">
        <v>74</v>
      </c>
      <c r="J9" t="s">
        <v>176</v>
      </c>
      <c r="K9" s="13" t="s">
        <v>2851</v>
      </c>
    </row>
    <row r="10" spans="1:11" ht="15">
      <c r="A10"/>
      <c r="B10">
        <v>4</v>
      </c>
      <c r="D10" t="s">
        <v>63</v>
      </c>
      <c r="E10" t="s">
        <v>63</v>
      </c>
      <c r="H10" t="s">
        <v>75</v>
      </c>
      <c r="J10" t="s">
        <v>177</v>
      </c>
      <c r="K10" t="s">
        <v>2852</v>
      </c>
    </row>
    <row r="11" spans="1:11" ht="15">
      <c r="A11"/>
      <c r="B11">
        <v>5</v>
      </c>
      <c r="D11" t="s">
        <v>46</v>
      </c>
      <c r="E11">
        <v>1</v>
      </c>
      <c r="H11" t="s">
        <v>76</v>
      </c>
      <c r="J11" t="s">
        <v>178</v>
      </c>
      <c r="K11" t="s">
        <v>2853</v>
      </c>
    </row>
    <row r="12" spans="1:11" ht="15">
      <c r="A12"/>
      <c r="B12"/>
      <c r="D12" t="s">
        <v>64</v>
      </c>
      <c r="E12">
        <v>2</v>
      </c>
      <c r="H12">
        <v>0</v>
      </c>
      <c r="J12" t="s">
        <v>179</v>
      </c>
      <c r="K12" t="s">
        <v>2854</v>
      </c>
    </row>
    <row r="13" spans="1:11" ht="15">
      <c r="A13"/>
      <c r="B13"/>
      <c r="D13">
        <v>1</v>
      </c>
      <c r="E13">
        <v>3</v>
      </c>
      <c r="H13">
        <v>1</v>
      </c>
      <c r="J13" t="s">
        <v>180</v>
      </c>
      <c r="K13" t="s">
        <v>2855</v>
      </c>
    </row>
    <row r="14" spans="4:11" ht="15">
      <c r="D14">
        <v>2</v>
      </c>
      <c r="E14">
        <v>4</v>
      </c>
      <c r="H14">
        <v>2</v>
      </c>
      <c r="J14" t="s">
        <v>181</v>
      </c>
      <c r="K14" t="s">
        <v>2856</v>
      </c>
    </row>
    <row r="15" spans="4:11" ht="15">
      <c r="D15">
        <v>3</v>
      </c>
      <c r="E15">
        <v>5</v>
      </c>
      <c r="H15">
        <v>3</v>
      </c>
      <c r="J15" t="s">
        <v>182</v>
      </c>
      <c r="K15" t="s">
        <v>2857</v>
      </c>
    </row>
    <row r="16" spans="4:11" ht="15">
      <c r="D16">
        <v>4</v>
      </c>
      <c r="E16">
        <v>6</v>
      </c>
      <c r="H16">
        <v>4</v>
      </c>
      <c r="J16" t="s">
        <v>183</v>
      </c>
      <c r="K16" t="s">
        <v>2858</v>
      </c>
    </row>
    <row r="17" spans="4:11" ht="15">
      <c r="D17">
        <v>5</v>
      </c>
      <c r="E17">
        <v>7</v>
      </c>
      <c r="H17">
        <v>5</v>
      </c>
      <c r="J17" t="s">
        <v>184</v>
      </c>
      <c r="K17" t="s">
        <v>2859</v>
      </c>
    </row>
    <row r="18" spans="4:11" ht="15">
      <c r="D18">
        <v>6</v>
      </c>
      <c r="E18">
        <v>8</v>
      </c>
      <c r="H18">
        <v>6</v>
      </c>
      <c r="J18" t="s">
        <v>185</v>
      </c>
      <c r="K18" t="s">
        <v>2860</v>
      </c>
    </row>
    <row r="19" spans="4:11" ht="15">
      <c r="D19">
        <v>7</v>
      </c>
      <c r="E19">
        <v>9</v>
      </c>
      <c r="H19">
        <v>7</v>
      </c>
      <c r="J19" t="s">
        <v>186</v>
      </c>
      <c r="K19" t="s">
        <v>2861</v>
      </c>
    </row>
    <row r="20" spans="4:11" ht="409.5">
      <c r="D20">
        <v>8</v>
      </c>
      <c r="H20">
        <v>8</v>
      </c>
      <c r="J20" t="s">
        <v>187</v>
      </c>
      <c r="K20" s="13" t="s">
        <v>2862</v>
      </c>
    </row>
    <row r="21" spans="4:11" ht="409.5">
      <c r="D21">
        <v>9</v>
      </c>
      <c r="H21">
        <v>9</v>
      </c>
      <c r="J21" t="s">
        <v>188</v>
      </c>
      <c r="K21" s="13" t="s">
        <v>2863</v>
      </c>
    </row>
    <row r="22" spans="4:11" ht="409.5">
      <c r="D22">
        <v>10</v>
      </c>
      <c r="J22" t="s">
        <v>189</v>
      </c>
      <c r="K22" s="13" t="s">
        <v>2864</v>
      </c>
    </row>
    <row r="23" spans="4:11" ht="15">
      <c r="D23">
        <v>11</v>
      </c>
      <c r="J23" t="s">
        <v>190</v>
      </c>
      <c r="K23">
        <v>18</v>
      </c>
    </row>
    <row r="24" spans="10:11" ht="15">
      <c r="J24" t="s">
        <v>192</v>
      </c>
      <c r="K24" t="s">
        <v>2846</v>
      </c>
    </row>
    <row r="25" spans="10:11" ht="409.5">
      <c r="J25" t="s">
        <v>193</v>
      </c>
      <c r="K25" s="13" t="s">
        <v>2848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DE718-F992-4AC8-B745-3C67C1EE1B58}">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1821</v>
      </c>
      <c r="B1" s="13" t="s">
        <v>1832</v>
      </c>
      <c r="C1" s="13" t="s">
        <v>1833</v>
      </c>
      <c r="D1" s="13" t="s">
        <v>1839</v>
      </c>
      <c r="E1" s="13" t="s">
        <v>1838</v>
      </c>
      <c r="F1" s="13" t="s">
        <v>1849</v>
      </c>
      <c r="G1" s="13" t="s">
        <v>1848</v>
      </c>
      <c r="H1" s="13" t="s">
        <v>1861</v>
      </c>
      <c r="I1" s="13" t="s">
        <v>1860</v>
      </c>
      <c r="J1" s="13" t="s">
        <v>1863</v>
      </c>
      <c r="K1" s="13" t="s">
        <v>1862</v>
      </c>
      <c r="L1" s="13" t="s">
        <v>1868</v>
      </c>
      <c r="M1" s="13" t="s">
        <v>1867</v>
      </c>
      <c r="N1" s="13" t="s">
        <v>1872</v>
      </c>
      <c r="O1" s="13" t="s">
        <v>1871</v>
      </c>
      <c r="P1" s="13" t="s">
        <v>1874</v>
      </c>
      <c r="Q1" s="13" t="s">
        <v>1873</v>
      </c>
      <c r="R1" s="13" t="s">
        <v>1877</v>
      </c>
      <c r="S1" s="13" t="s">
        <v>1876</v>
      </c>
      <c r="T1" s="13" t="s">
        <v>1879</v>
      </c>
      <c r="U1" s="13" t="s">
        <v>1878</v>
      </c>
      <c r="V1" s="13" t="s">
        <v>1880</v>
      </c>
    </row>
    <row r="2" spans="1:22" ht="15">
      <c r="A2" s="84" t="s">
        <v>1822</v>
      </c>
      <c r="B2" s="79">
        <v>15</v>
      </c>
      <c r="C2" s="84" t="s">
        <v>1824</v>
      </c>
      <c r="D2" s="79">
        <v>12</v>
      </c>
      <c r="E2" s="84" t="s">
        <v>1828</v>
      </c>
      <c r="F2" s="79">
        <v>2</v>
      </c>
      <c r="G2" s="84" t="s">
        <v>1850</v>
      </c>
      <c r="H2" s="79">
        <v>3</v>
      </c>
      <c r="I2" s="84" t="s">
        <v>1822</v>
      </c>
      <c r="J2" s="79">
        <v>12</v>
      </c>
      <c r="K2" s="84" t="s">
        <v>1864</v>
      </c>
      <c r="L2" s="79">
        <v>3</v>
      </c>
      <c r="M2" s="84" t="s">
        <v>1869</v>
      </c>
      <c r="N2" s="79">
        <v>2</v>
      </c>
      <c r="O2" s="84" t="s">
        <v>1827</v>
      </c>
      <c r="P2" s="79">
        <v>6</v>
      </c>
      <c r="Q2" s="84" t="s">
        <v>1875</v>
      </c>
      <c r="R2" s="79">
        <v>2</v>
      </c>
      <c r="S2" s="84" t="s">
        <v>1822</v>
      </c>
      <c r="T2" s="79">
        <v>1</v>
      </c>
      <c r="U2" s="84" t="s">
        <v>1829</v>
      </c>
      <c r="V2" s="79">
        <v>5</v>
      </c>
    </row>
    <row r="3" spans="1:22" ht="15">
      <c r="A3" s="85" t="s">
        <v>1823</v>
      </c>
      <c r="B3" s="79">
        <v>12</v>
      </c>
      <c r="C3" s="84" t="s">
        <v>1823</v>
      </c>
      <c r="D3" s="79">
        <v>12</v>
      </c>
      <c r="E3" s="84" t="s">
        <v>1822</v>
      </c>
      <c r="F3" s="79">
        <v>2</v>
      </c>
      <c r="G3" s="84" t="s">
        <v>1851</v>
      </c>
      <c r="H3" s="79">
        <v>3</v>
      </c>
      <c r="I3" s="79"/>
      <c r="J3" s="79"/>
      <c r="K3" s="84" t="s">
        <v>1828</v>
      </c>
      <c r="L3" s="79">
        <v>2</v>
      </c>
      <c r="M3" s="84" t="s">
        <v>1870</v>
      </c>
      <c r="N3" s="79">
        <v>1</v>
      </c>
      <c r="O3" s="79"/>
      <c r="P3" s="79"/>
      <c r="Q3" s="79"/>
      <c r="R3" s="79"/>
      <c r="S3" s="79"/>
      <c r="T3" s="79"/>
      <c r="U3" s="84" t="s">
        <v>1855</v>
      </c>
      <c r="V3" s="79">
        <v>1</v>
      </c>
    </row>
    <row r="4" spans="1:22" ht="15">
      <c r="A4" s="85" t="s">
        <v>1824</v>
      </c>
      <c r="B4" s="79">
        <v>12</v>
      </c>
      <c r="C4" s="84" t="s">
        <v>1825</v>
      </c>
      <c r="D4" s="79">
        <v>11</v>
      </c>
      <c r="E4" s="84" t="s">
        <v>1840</v>
      </c>
      <c r="F4" s="79">
        <v>1</v>
      </c>
      <c r="G4" s="84" t="s">
        <v>1852</v>
      </c>
      <c r="H4" s="79">
        <v>3</v>
      </c>
      <c r="I4" s="79"/>
      <c r="J4" s="79"/>
      <c r="K4" s="84" t="s">
        <v>1865</v>
      </c>
      <c r="L4" s="79">
        <v>1</v>
      </c>
      <c r="M4" s="79"/>
      <c r="N4" s="79"/>
      <c r="O4" s="79"/>
      <c r="P4" s="79"/>
      <c r="Q4" s="79"/>
      <c r="R4" s="79"/>
      <c r="S4" s="79"/>
      <c r="T4" s="79"/>
      <c r="U4" s="79"/>
      <c r="V4" s="79"/>
    </row>
    <row r="5" spans="1:22" ht="15">
      <c r="A5" s="85" t="s">
        <v>1825</v>
      </c>
      <c r="B5" s="79">
        <v>11</v>
      </c>
      <c r="C5" s="84" t="s">
        <v>1826</v>
      </c>
      <c r="D5" s="79">
        <v>9</v>
      </c>
      <c r="E5" s="84" t="s">
        <v>1841</v>
      </c>
      <c r="F5" s="79">
        <v>1</v>
      </c>
      <c r="G5" s="84" t="s">
        <v>1853</v>
      </c>
      <c r="H5" s="79">
        <v>2</v>
      </c>
      <c r="I5" s="79"/>
      <c r="J5" s="79"/>
      <c r="K5" s="84" t="s">
        <v>1866</v>
      </c>
      <c r="L5" s="79">
        <v>1</v>
      </c>
      <c r="M5" s="79"/>
      <c r="N5" s="79"/>
      <c r="O5" s="79"/>
      <c r="P5" s="79"/>
      <c r="Q5" s="79"/>
      <c r="R5" s="79"/>
      <c r="S5" s="79"/>
      <c r="T5" s="79"/>
      <c r="U5" s="79"/>
      <c r="V5" s="79"/>
    </row>
    <row r="6" spans="1:22" ht="15">
      <c r="A6" s="85" t="s">
        <v>1826</v>
      </c>
      <c r="B6" s="79">
        <v>9</v>
      </c>
      <c r="C6" s="84" t="s">
        <v>1830</v>
      </c>
      <c r="D6" s="79">
        <v>5</v>
      </c>
      <c r="E6" s="84" t="s">
        <v>1842</v>
      </c>
      <c r="F6" s="79">
        <v>1</v>
      </c>
      <c r="G6" s="84" t="s">
        <v>1854</v>
      </c>
      <c r="H6" s="79">
        <v>2</v>
      </c>
      <c r="I6" s="79"/>
      <c r="J6" s="79"/>
      <c r="K6" s="79"/>
      <c r="L6" s="79"/>
      <c r="M6" s="79"/>
      <c r="N6" s="79"/>
      <c r="O6" s="79"/>
      <c r="P6" s="79"/>
      <c r="Q6" s="79"/>
      <c r="R6" s="79"/>
      <c r="S6" s="79"/>
      <c r="T6" s="79"/>
      <c r="U6" s="79"/>
      <c r="V6" s="79"/>
    </row>
    <row r="7" spans="1:22" ht="15">
      <c r="A7" s="85" t="s">
        <v>1827</v>
      </c>
      <c r="B7" s="79">
        <v>6</v>
      </c>
      <c r="C7" s="84" t="s">
        <v>1834</v>
      </c>
      <c r="D7" s="79">
        <v>4</v>
      </c>
      <c r="E7" s="84" t="s">
        <v>1843</v>
      </c>
      <c r="F7" s="79">
        <v>1</v>
      </c>
      <c r="G7" s="84" t="s">
        <v>1855</v>
      </c>
      <c r="H7" s="79">
        <v>1</v>
      </c>
      <c r="I7" s="79"/>
      <c r="J7" s="79"/>
      <c r="K7" s="79"/>
      <c r="L7" s="79"/>
      <c r="M7" s="79"/>
      <c r="N7" s="79"/>
      <c r="O7" s="79"/>
      <c r="P7" s="79"/>
      <c r="Q7" s="79"/>
      <c r="R7" s="79"/>
      <c r="S7" s="79"/>
      <c r="T7" s="79"/>
      <c r="U7" s="79"/>
      <c r="V7" s="79"/>
    </row>
    <row r="8" spans="1:22" ht="15">
      <c r="A8" s="85" t="s">
        <v>1828</v>
      </c>
      <c r="B8" s="79">
        <v>6</v>
      </c>
      <c r="C8" s="84" t="s">
        <v>1831</v>
      </c>
      <c r="D8" s="79">
        <v>4</v>
      </c>
      <c r="E8" s="84" t="s">
        <v>1844</v>
      </c>
      <c r="F8" s="79">
        <v>1</v>
      </c>
      <c r="G8" s="84" t="s">
        <v>1856</v>
      </c>
      <c r="H8" s="79">
        <v>1</v>
      </c>
      <c r="I8" s="79"/>
      <c r="J8" s="79"/>
      <c r="K8" s="79"/>
      <c r="L8" s="79"/>
      <c r="M8" s="79"/>
      <c r="N8" s="79"/>
      <c r="O8" s="79"/>
      <c r="P8" s="79"/>
      <c r="Q8" s="79"/>
      <c r="R8" s="79"/>
      <c r="S8" s="79"/>
      <c r="T8" s="79"/>
      <c r="U8" s="79"/>
      <c r="V8" s="79"/>
    </row>
    <row r="9" spans="1:22" ht="15">
      <c r="A9" s="85" t="s">
        <v>1829</v>
      </c>
      <c r="B9" s="79">
        <v>5</v>
      </c>
      <c r="C9" s="84" t="s">
        <v>1835</v>
      </c>
      <c r="D9" s="79">
        <v>3</v>
      </c>
      <c r="E9" s="84" t="s">
        <v>1845</v>
      </c>
      <c r="F9" s="79">
        <v>1</v>
      </c>
      <c r="G9" s="84" t="s">
        <v>1857</v>
      </c>
      <c r="H9" s="79">
        <v>1</v>
      </c>
      <c r="I9" s="79"/>
      <c r="J9" s="79"/>
      <c r="K9" s="79"/>
      <c r="L9" s="79"/>
      <c r="M9" s="79"/>
      <c r="N9" s="79"/>
      <c r="O9" s="79"/>
      <c r="P9" s="79"/>
      <c r="Q9" s="79"/>
      <c r="R9" s="79"/>
      <c r="S9" s="79"/>
      <c r="T9" s="79"/>
      <c r="U9" s="79"/>
      <c r="V9" s="79"/>
    </row>
    <row r="10" spans="1:22" ht="15">
      <c r="A10" s="85" t="s">
        <v>1830</v>
      </c>
      <c r="B10" s="79">
        <v>5</v>
      </c>
      <c r="C10" s="84" t="s">
        <v>1836</v>
      </c>
      <c r="D10" s="79">
        <v>2</v>
      </c>
      <c r="E10" s="84" t="s">
        <v>1846</v>
      </c>
      <c r="F10" s="79">
        <v>1</v>
      </c>
      <c r="G10" s="84" t="s">
        <v>1858</v>
      </c>
      <c r="H10" s="79">
        <v>1</v>
      </c>
      <c r="I10" s="79"/>
      <c r="J10" s="79"/>
      <c r="K10" s="79"/>
      <c r="L10" s="79"/>
      <c r="M10" s="79"/>
      <c r="N10" s="79"/>
      <c r="O10" s="79"/>
      <c r="P10" s="79"/>
      <c r="Q10" s="79"/>
      <c r="R10" s="79"/>
      <c r="S10" s="79"/>
      <c r="T10" s="79"/>
      <c r="U10" s="79"/>
      <c r="V10" s="79"/>
    </row>
    <row r="11" spans="1:22" ht="15">
      <c r="A11" s="85" t="s">
        <v>1831</v>
      </c>
      <c r="B11" s="79">
        <v>4</v>
      </c>
      <c r="C11" s="84" t="s">
        <v>1837</v>
      </c>
      <c r="D11" s="79">
        <v>2</v>
      </c>
      <c r="E11" s="84" t="s">
        <v>1847</v>
      </c>
      <c r="F11" s="79">
        <v>1</v>
      </c>
      <c r="G11" s="84" t="s">
        <v>1859</v>
      </c>
      <c r="H11" s="79">
        <v>1</v>
      </c>
      <c r="I11" s="79"/>
      <c r="J11" s="79"/>
      <c r="K11" s="79"/>
      <c r="L11" s="79"/>
      <c r="M11" s="79"/>
      <c r="N11" s="79"/>
      <c r="O11" s="79"/>
      <c r="P11" s="79"/>
      <c r="Q11" s="79"/>
      <c r="R11" s="79"/>
      <c r="S11" s="79"/>
      <c r="T11" s="79"/>
      <c r="U11" s="79"/>
      <c r="V11" s="79"/>
    </row>
    <row r="14" spans="1:22" ht="15" customHeight="1">
      <c r="A14" s="13" t="s">
        <v>1898</v>
      </c>
      <c r="B14" s="13" t="s">
        <v>1832</v>
      </c>
      <c r="C14" s="13" t="s">
        <v>1899</v>
      </c>
      <c r="D14" s="13" t="s">
        <v>1839</v>
      </c>
      <c r="E14" s="13" t="s">
        <v>1900</v>
      </c>
      <c r="F14" s="13" t="s">
        <v>1849</v>
      </c>
      <c r="G14" s="13" t="s">
        <v>1901</v>
      </c>
      <c r="H14" s="13" t="s">
        <v>1861</v>
      </c>
      <c r="I14" s="13" t="s">
        <v>1904</v>
      </c>
      <c r="J14" s="13" t="s">
        <v>1863</v>
      </c>
      <c r="K14" s="13" t="s">
        <v>1905</v>
      </c>
      <c r="L14" s="13" t="s">
        <v>1868</v>
      </c>
      <c r="M14" s="13" t="s">
        <v>1906</v>
      </c>
      <c r="N14" s="13" t="s">
        <v>1872</v>
      </c>
      <c r="O14" s="13" t="s">
        <v>1907</v>
      </c>
      <c r="P14" s="13" t="s">
        <v>1874</v>
      </c>
      <c r="Q14" s="13" t="s">
        <v>1908</v>
      </c>
      <c r="R14" s="13" t="s">
        <v>1877</v>
      </c>
      <c r="S14" s="13" t="s">
        <v>1909</v>
      </c>
      <c r="T14" s="13" t="s">
        <v>1879</v>
      </c>
      <c r="U14" s="13" t="s">
        <v>1910</v>
      </c>
      <c r="V14" s="13" t="s">
        <v>1880</v>
      </c>
    </row>
    <row r="15" spans="1:22" ht="15">
      <c r="A15" s="79" t="s">
        <v>528</v>
      </c>
      <c r="B15" s="79">
        <v>55</v>
      </c>
      <c r="C15" s="79" t="s">
        <v>528</v>
      </c>
      <c r="D15" s="79">
        <v>55</v>
      </c>
      <c r="E15" s="79" t="s">
        <v>522</v>
      </c>
      <c r="F15" s="79">
        <v>3</v>
      </c>
      <c r="G15" s="79" t="s">
        <v>525</v>
      </c>
      <c r="H15" s="79">
        <v>9</v>
      </c>
      <c r="I15" s="79" t="s">
        <v>532</v>
      </c>
      <c r="J15" s="79">
        <v>12</v>
      </c>
      <c r="K15" s="79" t="s">
        <v>524</v>
      </c>
      <c r="L15" s="79">
        <v>3</v>
      </c>
      <c r="M15" s="79" t="s">
        <v>521</v>
      </c>
      <c r="N15" s="79">
        <v>2</v>
      </c>
      <c r="O15" s="79" t="s">
        <v>519</v>
      </c>
      <c r="P15" s="79">
        <v>6</v>
      </c>
      <c r="Q15" s="79" t="s">
        <v>522</v>
      </c>
      <c r="R15" s="79">
        <v>2</v>
      </c>
      <c r="S15" s="79" t="s">
        <v>532</v>
      </c>
      <c r="T15" s="79">
        <v>1</v>
      </c>
      <c r="U15" s="79" t="s">
        <v>546</v>
      </c>
      <c r="V15" s="79">
        <v>5</v>
      </c>
    </row>
    <row r="16" spans="1:22" ht="15">
      <c r="A16" s="80" t="s">
        <v>532</v>
      </c>
      <c r="B16" s="79">
        <v>19</v>
      </c>
      <c r="C16" s="79" t="s">
        <v>535</v>
      </c>
      <c r="D16" s="79">
        <v>9</v>
      </c>
      <c r="E16" s="79" t="s">
        <v>532</v>
      </c>
      <c r="F16" s="79">
        <v>3</v>
      </c>
      <c r="G16" s="79" t="s">
        <v>543</v>
      </c>
      <c r="H16" s="79">
        <v>3</v>
      </c>
      <c r="I16" s="79"/>
      <c r="J16" s="79"/>
      <c r="K16" s="79" t="s">
        <v>514</v>
      </c>
      <c r="L16" s="79">
        <v>2</v>
      </c>
      <c r="M16" s="79" t="s">
        <v>522</v>
      </c>
      <c r="N16" s="79">
        <v>1</v>
      </c>
      <c r="O16" s="79"/>
      <c r="P16" s="79"/>
      <c r="Q16" s="79"/>
      <c r="R16" s="79"/>
      <c r="S16" s="79"/>
      <c r="T16" s="79"/>
      <c r="U16" s="79" t="s">
        <v>544</v>
      </c>
      <c r="V16" s="79">
        <v>1</v>
      </c>
    </row>
    <row r="17" spans="1:22" ht="15">
      <c r="A17" s="80" t="s">
        <v>525</v>
      </c>
      <c r="B17" s="79">
        <v>13</v>
      </c>
      <c r="C17" s="79"/>
      <c r="D17" s="79"/>
      <c r="E17" s="79" t="s">
        <v>514</v>
      </c>
      <c r="F17" s="79">
        <v>2</v>
      </c>
      <c r="G17" s="79" t="s">
        <v>535</v>
      </c>
      <c r="H17" s="79">
        <v>2</v>
      </c>
      <c r="I17" s="79"/>
      <c r="J17" s="79"/>
      <c r="K17" s="79" t="s">
        <v>547</v>
      </c>
      <c r="L17" s="79">
        <v>1</v>
      </c>
      <c r="M17" s="79"/>
      <c r="N17" s="79"/>
      <c r="O17" s="79"/>
      <c r="P17" s="79"/>
      <c r="Q17" s="79"/>
      <c r="R17" s="79"/>
      <c r="S17" s="79"/>
      <c r="T17" s="79"/>
      <c r="U17" s="79"/>
      <c r="V17" s="79"/>
    </row>
    <row r="18" spans="1:22" ht="15">
      <c r="A18" s="80" t="s">
        <v>535</v>
      </c>
      <c r="B18" s="79">
        <v>11</v>
      </c>
      <c r="C18" s="79"/>
      <c r="D18" s="79"/>
      <c r="E18" s="79" t="s">
        <v>527</v>
      </c>
      <c r="F18" s="79">
        <v>2</v>
      </c>
      <c r="G18" s="79" t="s">
        <v>544</v>
      </c>
      <c r="H18" s="79">
        <v>1</v>
      </c>
      <c r="I18" s="79"/>
      <c r="J18" s="79"/>
      <c r="K18" s="79" t="s">
        <v>513</v>
      </c>
      <c r="L18" s="79">
        <v>1</v>
      </c>
      <c r="M18" s="79"/>
      <c r="N18" s="79"/>
      <c r="O18" s="79"/>
      <c r="P18" s="79"/>
      <c r="Q18" s="79"/>
      <c r="R18" s="79"/>
      <c r="S18" s="79"/>
      <c r="T18" s="79"/>
      <c r="U18" s="79"/>
      <c r="V18" s="79"/>
    </row>
    <row r="19" spans="1:22" ht="15">
      <c r="A19" s="80" t="s">
        <v>514</v>
      </c>
      <c r="B19" s="79">
        <v>7</v>
      </c>
      <c r="C19" s="79"/>
      <c r="D19" s="79"/>
      <c r="E19" s="79" t="s">
        <v>529</v>
      </c>
      <c r="F19" s="79">
        <v>1</v>
      </c>
      <c r="G19" s="79" t="s">
        <v>520</v>
      </c>
      <c r="H19" s="79">
        <v>1</v>
      </c>
      <c r="I19" s="79"/>
      <c r="J19" s="79"/>
      <c r="K19" s="79"/>
      <c r="L19" s="79"/>
      <c r="M19" s="79"/>
      <c r="N19" s="79"/>
      <c r="O19" s="79"/>
      <c r="P19" s="79"/>
      <c r="Q19" s="79"/>
      <c r="R19" s="79"/>
      <c r="S19" s="79"/>
      <c r="T19" s="79"/>
      <c r="U19" s="79"/>
      <c r="V19" s="79"/>
    </row>
    <row r="20" spans="1:22" ht="15">
      <c r="A20" s="80" t="s">
        <v>522</v>
      </c>
      <c r="B20" s="79">
        <v>6</v>
      </c>
      <c r="C20" s="79"/>
      <c r="D20" s="79"/>
      <c r="E20" s="79" t="s">
        <v>515</v>
      </c>
      <c r="F20" s="79">
        <v>1</v>
      </c>
      <c r="G20" s="79" t="s">
        <v>1902</v>
      </c>
      <c r="H20" s="79">
        <v>1</v>
      </c>
      <c r="I20" s="79"/>
      <c r="J20" s="79"/>
      <c r="K20" s="79"/>
      <c r="L20" s="79"/>
      <c r="M20" s="79"/>
      <c r="N20" s="79"/>
      <c r="O20" s="79"/>
      <c r="P20" s="79"/>
      <c r="Q20" s="79"/>
      <c r="R20" s="79"/>
      <c r="S20" s="79"/>
      <c r="T20" s="79"/>
      <c r="U20" s="79"/>
      <c r="V20" s="79"/>
    </row>
    <row r="21" spans="1:22" ht="15">
      <c r="A21" s="80" t="s">
        <v>519</v>
      </c>
      <c r="B21" s="79">
        <v>6</v>
      </c>
      <c r="C21" s="79"/>
      <c r="D21" s="79"/>
      <c r="E21" s="79" t="s">
        <v>516</v>
      </c>
      <c r="F21" s="79">
        <v>1</v>
      </c>
      <c r="G21" s="79" t="s">
        <v>1903</v>
      </c>
      <c r="H21" s="79">
        <v>1</v>
      </c>
      <c r="I21" s="79"/>
      <c r="J21" s="79"/>
      <c r="K21" s="79"/>
      <c r="L21" s="79"/>
      <c r="M21" s="79"/>
      <c r="N21" s="79"/>
      <c r="O21" s="79"/>
      <c r="P21" s="79"/>
      <c r="Q21" s="79"/>
      <c r="R21" s="79"/>
      <c r="S21" s="79"/>
      <c r="T21" s="79"/>
      <c r="U21" s="79"/>
      <c r="V21" s="79"/>
    </row>
    <row r="22" spans="1:22" ht="15">
      <c r="A22" s="80" t="s">
        <v>529</v>
      </c>
      <c r="B22" s="79">
        <v>6</v>
      </c>
      <c r="C22" s="79"/>
      <c r="D22" s="79"/>
      <c r="E22" s="79" t="s">
        <v>520</v>
      </c>
      <c r="F22" s="79">
        <v>1</v>
      </c>
      <c r="G22" s="79"/>
      <c r="H22" s="79"/>
      <c r="I22" s="79"/>
      <c r="J22" s="79"/>
      <c r="K22" s="79"/>
      <c r="L22" s="79"/>
      <c r="M22" s="79"/>
      <c r="N22" s="79"/>
      <c r="O22" s="79"/>
      <c r="P22" s="79"/>
      <c r="Q22" s="79"/>
      <c r="R22" s="79"/>
      <c r="S22" s="79"/>
      <c r="T22" s="79"/>
      <c r="U22" s="79"/>
      <c r="V22" s="79"/>
    </row>
    <row r="23" spans="1:22" ht="15">
      <c r="A23" s="80" t="s">
        <v>546</v>
      </c>
      <c r="B23" s="79">
        <v>5</v>
      </c>
      <c r="C23" s="79"/>
      <c r="D23" s="79"/>
      <c r="E23" s="79" t="s">
        <v>526</v>
      </c>
      <c r="F23" s="79">
        <v>1</v>
      </c>
      <c r="G23" s="79"/>
      <c r="H23" s="79"/>
      <c r="I23" s="79"/>
      <c r="J23" s="79"/>
      <c r="K23" s="79"/>
      <c r="L23" s="79"/>
      <c r="M23" s="79"/>
      <c r="N23" s="79"/>
      <c r="O23" s="79"/>
      <c r="P23" s="79"/>
      <c r="Q23" s="79"/>
      <c r="R23" s="79"/>
      <c r="S23" s="79"/>
      <c r="T23" s="79"/>
      <c r="U23" s="79"/>
      <c r="V23" s="79"/>
    </row>
    <row r="24" spans="1:22" ht="15">
      <c r="A24" s="80" t="s">
        <v>524</v>
      </c>
      <c r="B24" s="79">
        <v>4</v>
      </c>
      <c r="C24" s="79"/>
      <c r="D24" s="79"/>
      <c r="E24" s="79" t="s">
        <v>531</v>
      </c>
      <c r="F24" s="79">
        <v>1</v>
      </c>
      <c r="G24" s="79"/>
      <c r="H24" s="79"/>
      <c r="I24" s="79"/>
      <c r="J24" s="79"/>
      <c r="K24" s="79"/>
      <c r="L24" s="79"/>
      <c r="M24" s="79"/>
      <c r="N24" s="79"/>
      <c r="O24" s="79"/>
      <c r="P24" s="79"/>
      <c r="Q24" s="79"/>
      <c r="R24" s="79"/>
      <c r="S24" s="79"/>
      <c r="T24" s="79"/>
      <c r="U24" s="79"/>
      <c r="V24" s="79"/>
    </row>
    <row r="27" spans="1:22" ht="15" customHeight="1">
      <c r="A27" s="13" t="s">
        <v>1919</v>
      </c>
      <c r="B27" s="13" t="s">
        <v>1832</v>
      </c>
      <c r="C27" s="79" t="s">
        <v>1929</v>
      </c>
      <c r="D27" s="79" t="s">
        <v>1839</v>
      </c>
      <c r="E27" s="13" t="s">
        <v>1930</v>
      </c>
      <c r="F27" s="13" t="s">
        <v>1849</v>
      </c>
      <c r="G27" s="13" t="s">
        <v>1938</v>
      </c>
      <c r="H27" s="13" t="s">
        <v>1861</v>
      </c>
      <c r="I27" s="13" t="s">
        <v>1945</v>
      </c>
      <c r="J27" s="13" t="s">
        <v>1863</v>
      </c>
      <c r="K27" s="79" t="s">
        <v>1946</v>
      </c>
      <c r="L27" s="79" t="s">
        <v>1868</v>
      </c>
      <c r="M27" s="13" t="s">
        <v>1947</v>
      </c>
      <c r="N27" s="13" t="s">
        <v>1872</v>
      </c>
      <c r="O27" s="13" t="s">
        <v>1949</v>
      </c>
      <c r="P27" s="13" t="s">
        <v>1874</v>
      </c>
      <c r="Q27" s="79" t="s">
        <v>1953</v>
      </c>
      <c r="R27" s="79" t="s">
        <v>1877</v>
      </c>
      <c r="S27" s="79" t="s">
        <v>1954</v>
      </c>
      <c r="T27" s="79" t="s">
        <v>1879</v>
      </c>
      <c r="U27" s="13" t="s">
        <v>1955</v>
      </c>
      <c r="V27" s="13" t="s">
        <v>1880</v>
      </c>
    </row>
    <row r="28" spans="1:22" ht="15">
      <c r="A28" s="79" t="s">
        <v>561</v>
      </c>
      <c r="B28" s="79">
        <v>11</v>
      </c>
      <c r="C28" s="79"/>
      <c r="D28" s="79"/>
      <c r="E28" s="79" t="s">
        <v>561</v>
      </c>
      <c r="F28" s="79">
        <v>2</v>
      </c>
      <c r="G28" s="79" t="s">
        <v>553</v>
      </c>
      <c r="H28" s="79">
        <v>4</v>
      </c>
      <c r="I28" s="79" t="s">
        <v>1921</v>
      </c>
      <c r="J28" s="79">
        <v>7</v>
      </c>
      <c r="K28" s="79"/>
      <c r="L28" s="79"/>
      <c r="M28" s="79" t="s">
        <v>561</v>
      </c>
      <c r="N28" s="79">
        <v>1</v>
      </c>
      <c r="O28" s="79" t="s">
        <v>1925</v>
      </c>
      <c r="P28" s="79">
        <v>6</v>
      </c>
      <c r="Q28" s="79"/>
      <c r="R28" s="79"/>
      <c r="S28" s="79"/>
      <c r="T28" s="79"/>
      <c r="U28" s="79" t="s">
        <v>1920</v>
      </c>
      <c r="V28" s="79">
        <v>6</v>
      </c>
    </row>
    <row r="29" spans="1:22" ht="15">
      <c r="A29" s="80" t="s">
        <v>1920</v>
      </c>
      <c r="B29" s="79">
        <v>8</v>
      </c>
      <c r="C29" s="79"/>
      <c r="D29" s="79"/>
      <c r="E29" s="79" t="s">
        <v>555</v>
      </c>
      <c r="F29" s="79">
        <v>2</v>
      </c>
      <c r="G29" s="79" t="s">
        <v>552</v>
      </c>
      <c r="H29" s="79">
        <v>3</v>
      </c>
      <c r="I29" s="79" t="s">
        <v>1922</v>
      </c>
      <c r="J29" s="79">
        <v>7</v>
      </c>
      <c r="K29" s="79"/>
      <c r="L29" s="79"/>
      <c r="M29" s="79" t="s">
        <v>1948</v>
      </c>
      <c r="N29" s="79">
        <v>1</v>
      </c>
      <c r="O29" s="79" t="s">
        <v>1926</v>
      </c>
      <c r="P29" s="79">
        <v>6</v>
      </c>
      <c r="Q29" s="79"/>
      <c r="R29" s="79"/>
      <c r="S29" s="79"/>
      <c r="T29" s="79"/>
      <c r="U29" s="79" t="s">
        <v>1923</v>
      </c>
      <c r="V29" s="79">
        <v>6</v>
      </c>
    </row>
    <row r="30" spans="1:22" ht="15">
      <c r="A30" s="80" t="s">
        <v>1921</v>
      </c>
      <c r="B30" s="79">
        <v>7</v>
      </c>
      <c r="C30" s="79"/>
      <c r="D30" s="79"/>
      <c r="E30" s="79" t="s">
        <v>1931</v>
      </c>
      <c r="F30" s="79">
        <v>1</v>
      </c>
      <c r="G30" s="79" t="s">
        <v>1939</v>
      </c>
      <c r="H30" s="79">
        <v>3</v>
      </c>
      <c r="I30" s="79" t="s">
        <v>567</v>
      </c>
      <c r="J30" s="79">
        <v>1</v>
      </c>
      <c r="K30" s="79"/>
      <c r="L30" s="79"/>
      <c r="M30" s="79"/>
      <c r="N30" s="79"/>
      <c r="O30" s="79" t="s">
        <v>1927</v>
      </c>
      <c r="P30" s="79">
        <v>6</v>
      </c>
      <c r="Q30" s="79"/>
      <c r="R30" s="79"/>
      <c r="S30" s="79"/>
      <c r="T30" s="79"/>
      <c r="U30" s="79" t="s">
        <v>561</v>
      </c>
      <c r="V30" s="79">
        <v>6</v>
      </c>
    </row>
    <row r="31" spans="1:22" ht="15">
      <c r="A31" s="80" t="s">
        <v>1922</v>
      </c>
      <c r="B31" s="79">
        <v>7</v>
      </c>
      <c r="C31" s="79"/>
      <c r="D31" s="79"/>
      <c r="E31" s="79" t="s">
        <v>1932</v>
      </c>
      <c r="F31" s="79">
        <v>1</v>
      </c>
      <c r="G31" s="79" t="s">
        <v>1940</v>
      </c>
      <c r="H31" s="79">
        <v>3</v>
      </c>
      <c r="I31" s="79"/>
      <c r="J31" s="79"/>
      <c r="K31" s="79"/>
      <c r="L31" s="79"/>
      <c r="M31" s="79"/>
      <c r="N31" s="79"/>
      <c r="O31" s="79" t="s">
        <v>1928</v>
      </c>
      <c r="P31" s="79">
        <v>6</v>
      </c>
      <c r="Q31" s="79"/>
      <c r="R31" s="79"/>
      <c r="S31" s="79"/>
      <c r="T31" s="79"/>
      <c r="U31" s="79" t="s">
        <v>1956</v>
      </c>
      <c r="V31" s="79">
        <v>5</v>
      </c>
    </row>
    <row r="32" spans="1:22" ht="15">
      <c r="A32" s="80" t="s">
        <v>1923</v>
      </c>
      <c r="B32" s="79">
        <v>7</v>
      </c>
      <c r="C32" s="79"/>
      <c r="D32" s="79"/>
      <c r="E32" s="79" t="s">
        <v>1933</v>
      </c>
      <c r="F32" s="79">
        <v>1</v>
      </c>
      <c r="G32" s="79" t="s">
        <v>561</v>
      </c>
      <c r="H32" s="79">
        <v>2</v>
      </c>
      <c r="I32" s="79"/>
      <c r="J32" s="79"/>
      <c r="K32" s="79"/>
      <c r="L32" s="79"/>
      <c r="M32" s="79"/>
      <c r="N32" s="79"/>
      <c r="O32" s="79" t="s">
        <v>1950</v>
      </c>
      <c r="P32" s="79">
        <v>6</v>
      </c>
      <c r="Q32" s="79"/>
      <c r="R32" s="79"/>
      <c r="S32" s="79"/>
      <c r="T32" s="79"/>
      <c r="U32" s="79"/>
      <c r="V32" s="79"/>
    </row>
    <row r="33" spans="1:22" ht="15">
      <c r="A33" s="80" t="s">
        <v>1924</v>
      </c>
      <c r="B33" s="79">
        <v>7</v>
      </c>
      <c r="C33" s="79"/>
      <c r="D33" s="79"/>
      <c r="E33" s="79" t="s">
        <v>402</v>
      </c>
      <c r="F33" s="79">
        <v>1</v>
      </c>
      <c r="G33" s="79" t="s">
        <v>1941</v>
      </c>
      <c r="H33" s="79">
        <v>2</v>
      </c>
      <c r="I33" s="79"/>
      <c r="J33" s="79"/>
      <c r="K33" s="79"/>
      <c r="L33" s="79"/>
      <c r="M33" s="79"/>
      <c r="N33" s="79"/>
      <c r="O33" s="79" t="s">
        <v>1951</v>
      </c>
      <c r="P33" s="79">
        <v>6</v>
      </c>
      <c r="Q33" s="79"/>
      <c r="R33" s="79"/>
      <c r="S33" s="79"/>
      <c r="T33" s="79"/>
      <c r="U33" s="79"/>
      <c r="V33" s="79"/>
    </row>
    <row r="34" spans="1:22" ht="15">
      <c r="A34" s="80" t="s">
        <v>1925</v>
      </c>
      <c r="B34" s="79">
        <v>6</v>
      </c>
      <c r="C34" s="79"/>
      <c r="D34" s="79"/>
      <c r="E34" s="79" t="s">
        <v>1934</v>
      </c>
      <c r="F34" s="79">
        <v>1</v>
      </c>
      <c r="G34" s="79" t="s">
        <v>1942</v>
      </c>
      <c r="H34" s="79">
        <v>2</v>
      </c>
      <c r="I34" s="79"/>
      <c r="J34" s="79"/>
      <c r="K34" s="79"/>
      <c r="L34" s="79"/>
      <c r="M34" s="79"/>
      <c r="N34" s="79"/>
      <c r="O34" s="79" t="s">
        <v>1952</v>
      </c>
      <c r="P34" s="79">
        <v>6</v>
      </c>
      <c r="Q34" s="79"/>
      <c r="R34" s="79"/>
      <c r="S34" s="79"/>
      <c r="T34" s="79"/>
      <c r="U34" s="79"/>
      <c r="V34" s="79"/>
    </row>
    <row r="35" spans="1:22" ht="15">
      <c r="A35" s="80" t="s">
        <v>1926</v>
      </c>
      <c r="B35" s="79">
        <v>6</v>
      </c>
      <c r="C35" s="79"/>
      <c r="D35" s="79"/>
      <c r="E35" s="79" t="s">
        <v>1935</v>
      </c>
      <c r="F35" s="79">
        <v>1</v>
      </c>
      <c r="G35" s="79" t="s">
        <v>1943</v>
      </c>
      <c r="H35" s="79">
        <v>2</v>
      </c>
      <c r="I35" s="79"/>
      <c r="J35" s="79"/>
      <c r="K35" s="79"/>
      <c r="L35" s="79"/>
      <c r="M35" s="79"/>
      <c r="N35" s="79"/>
      <c r="O35" s="79"/>
      <c r="P35" s="79"/>
      <c r="Q35" s="79"/>
      <c r="R35" s="79"/>
      <c r="S35" s="79"/>
      <c r="T35" s="79"/>
      <c r="U35" s="79"/>
      <c r="V35" s="79"/>
    </row>
    <row r="36" spans="1:22" ht="15">
      <c r="A36" s="80" t="s">
        <v>1927</v>
      </c>
      <c r="B36" s="79">
        <v>6</v>
      </c>
      <c r="C36" s="79"/>
      <c r="D36" s="79"/>
      <c r="E36" s="79" t="s">
        <v>1936</v>
      </c>
      <c r="F36" s="79">
        <v>1</v>
      </c>
      <c r="G36" s="79" t="s">
        <v>1924</v>
      </c>
      <c r="H36" s="79">
        <v>2</v>
      </c>
      <c r="I36" s="79"/>
      <c r="J36" s="79"/>
      <c r="K36" s="79"/>
      <c r="L36" s="79"/>
      <c r="M36" s="79"/>
      <c r="N36" s="79"/>
      <c r="O36" s="79"/>
      <c r="P36" s="79"/>
      <c r="Q36" s="79"/>
      <c r="R36" s="79"/>
      <c r="S36" s="79"/>
      <c r="T36" s="79"/>
      <c r="U36" s="79"/>
      <c r="V36" s="79"/>
    </row>
    <row r="37" spans="1:22" ht="15">
      <c r="A37" s="80" t="s">
        <v>1928</v>
      </c>
      <c r="B37" s="79">
        <v>6</v>
      </c>
      <c r="C37" s="79"/>
      <c r="D37" s="79"/>
      <c r="E37" s="79" t="s">
        <v>1937</v>
      </c>
      <c r="F37" s="79">
        <v>1</v>
      </c>
      <c r="G37" s="79" t="s">
        <v>1944</v>
      </c>
      <c r="H37" s="79">
        <v>2</v>
      </c>
      <c r="I37" s="79"/>
      <c r="J37" s="79"/>
      <c r="K37" s="79"/>
      <c r="L37" s="79"/>
      <c r="M37" s="79"/>
      <c r="N37" s="79"/>
      <c r="O37" s="79"/>
      <c r="P37" s="79"/>
      <c r="Q37" s="79"/>
      <c r="R37" s="79"/>
      <c r="S37" s="79"/>
      <c r="T37" s="79"/>
      <c r="U37" s="79"/>
      <c r="V37" s="79"/>
    </row>
    <row r="40" spans="1:22" ht="15" customHeight="1">
      <c r="A40" s="13" t="s">
        <v>1963</v>
      </c>
      <c r="B40" s="13" t="s">
        <v>1832</v>
      </c>
      <c r="C40" s="13" t="s">
        <v>1973</v>
      </c>
      <c r="D40" s="13" t="s">
        <v>1839</v>
      </c>
      <c r="E40" s="13" t="s">
        <v>1975</v>
      </c>
      <c r="F40" s="13" t="s">
        <v>1849</v>
      </c>
      <c r="G40" s="13" t="s">
        <v>1983</v>
      </c>
      <c r="H40" s="13" t="s">
        <v>1861</v>
      </c>
      <c r="I40" s="13" t="s">
        <v>1989</v>
      </c>
      <c r="J40" s="13" t="s">
        <v>1863</v>
      </c>
      <c r="K40" s="13" t="s">
        <v>1996</v>
      </c>
      <c r="L40" s="13" t="s">
        <v>1868</v>
      </c>
      <c r="M40" s="13" t="s">
        <v>2001</v>
      </c>
      <c r="N40" s="13" t="s">
        <v>1872</v>
      </c>
      <c r="O40" s="13" t="s">
        <v>2010</v>
      </c>
      <c r="P40" s="13" t="s">
        <v>1874</v>
      </c>
      <c r="Q40" s="13" t="s">
        <v>2016</v>
      </c>
      <c r="R40" s="13" t="s">
        <v>1877</v>
      </c>
      <c r="S40" s="79" t="s">
        <v>2024</v>
      </c>
      <c r="T40" s="79" t="s">
        <v>1879</v>
      </c>
      <c r="U40" s="13" t="s">
        <v>2025</v>
      </c>
      <c r="V40" s="13" t="s">
        <v>1880</v>
      </c>
    </row>
    <row r="41" spans="1:22" ht="15">
      <c r="A41" s="88" t="s">
        <v>1944</v>
      </c>
      <c r="B41" s="88">
        <v>201</v>
      </c>
      <c r="C41" s="88" t="s">
        <v>1966</v>
      </c>
      <c r="D41" s="88">
        <v>128</v>
      </c>
      <c r="E41" s="88" t="s">
        <v>1944</v>
      </c>
      <c r="F41" s="88">
        <v>30</v>
      </c>
      <c r="G41" s="88" t="s">
        <v>1944</v>
      </c>
      <c r="H41" s="88">
        <v>14</v>
      </c>
      <c r="I41" s="88" t="s">
        <v>1944</v>
      </c>
      <c r="J41" s="88">
        <v>12</v>
      </c>
      <c r="K41" s="88" t="s">
        <v>1944</v>
      </c>
      <c r="L41" s="88">
        <v>12</v>
      </c>
      <c r="M41" s="88" t="s">
        <v>2002</v>
      </c>
      <c r="N41" s="88">
        <v>4</v>
      </c>
      <c r="O41" s="88" t="s">
        <v>1964</v>
      </c>
      <c r="P41" s="88">
        <v>12</v>
      </c>
      <c r="Q41" s="88" t="s">
        <v>2017</v>
      </c>
      <c r="R41" s="88">
        <v>3</v>
      </c>
      <c r="S41" s="88"/>
      <c r="T41" s="88"/>
      <c r="U41" s="88" t="s">
        <v>1987</v>
      </c>
      <c r="V41" s="88">
        <v>10</v>
      </c>
    </row>
    <row r="42" spans="1:22" ht="15">
      <c r="A42" s="83" t="s">
        <v>1964</v>
      </c>
      <c r="B42" s="88">
        <v>170</v>
      </c>
      <c r="C42" s="88" t="s">
        <v>1974</v>
      </c>
      <c r="D42" s="88">
        <v>64</v>
      </c>
      <c r="E42" s="88" t="s">
        <v>1964</v>
      </c>
      <c r="F42" s="88">
        <v>23</v>
      </c>
      <c r="G42" s="88" t="s">
        <v>1984</v>
      </c>
      <c r="H42" s="88">
        <v>11</v>
      </c>
      <c r="I42" s="88" t="s">
        <v>1979</v>
      </c>
      <c r="J42" s="88">
        <v>10</v>
      </c>
      <c r="K42" s="88" t="s">
        <v>1965</v>
      </c>
      <c r="L42" s="88">
        <v>11</v>
      </c>
      <c r="M42" s="88" t="s">
        <v>2003</v>
      </c>
      <c r="N42" s="88">
        <v>4</v>
      </c>
      <c r="O42" s="88" t="s">
        <v>1971</v>
      </c>
      <c r="P42" s="88">
        <v>6</v>
      </c>
      <c r="Q42" s="88" t="s">
        <v>2018</v>
      </c>
      <c r="R42" s="88">
        <v>3</v>
      </c>
      <c r="S42" s="88"/>
      <c r="T42" s="88"/>
      <c r="U42" s="88" t="s">
        <v>2026</v>
      </c>
      <c r="V42" s="88">
        <v>6</v>
      </c>
    </row>
    <row r="43" spans="1:22" ht="15">
      <c r="A43" s="83" t="s">
        <v>1965</v>
      </c>
      <c r="B43" s="88">
        <v>167</v>
      </c>
      <c r="C43" s="88" t="s">
        <v>378</v>
      </c>
      <c r="D43" s="88">
        <v>64</v>
      </c>
      <c r="E43" s="88" t="s">
        <v>1965</v>
      </c>
      <c r="F43" s="88">
        <v>22</v>
      </c>
      <c r="G43" s="88" t="s">
        <v>1964</v>
      </c>
      <c r="H43" s="88">
        <v>9</v>
      </c>
      <c r="I43" s="88" t="s">
        <v>390</v>
      </c>
      <c r="J43" s="88">
        <v>10</v>
      </c>
      <c r="K43" s="88" t="s">
        <v>1997</v>
      </c>
      <c r="L43" s="88">
        <v>8</v>
      </c>
      <c r="M43" s="88" t="s">
        <v>373</v>
      </c>
      <c r="N43" s="88">
        <v>3</v>
      </c>
      <c r="O43" s="88" t="s">
        <v>1991</v>
      </c>
      <c r="P43" s="88">
        <v>6</v>
      </c>
      <c r="Q43" s="88" t="s">
        <v>1964</v>
      </c>
      <c r="R43" s="88">
        <v>3</v>
      </c>
      <c r="S43" s="88"/>
      <c r="T43" s="88"/>
      <c r="U43" s="88" t="s">
        <v>1964</v>
      </c>
      <c r="V43" s="88">
        <v>6</v>
      </c>
    </row>
    <row r="44" spans="1:22" ht="15">
      <c r="A44" s="83" t="s">
        <v>1966</v>
      </c>
      <c r="B44" s="88">
        <v>131</v>
      </c>
      <c r="C44" s="88" t="s">
        <v>1971</v>
      </c>
      <c r="D44" s="88">
        <v>64</v>
      </c>
      <c r="E44" s="88" t="s">
        <v>1976</v>
      </c>
      <c r="F44" s="88">
        <v>7</v>
      </c>
      <c r="G44" s="88" t="s">
        <v>1965</v>
      </c>
      <c r="H44" s="88">
        <v>9</v>
      </c>
      <c r="I44" s="88" t="s">
        <v>361</v>
      </c>
      <c r="J44" s="88">
        <v>8</v>
      </c>
      <c r="K44" s="88" t="s">
        <v>1964</v>
      </c>
      <c r="L44" s="88">
        <v>5</v>
      </c>
      <c r="M44" s="88" t="s">
        <v>1944</v>
      </c>
      <c r="N44" s="88">
        <v>3</v>
      </c>
      <c r="O44" s="88" t="s">
        <v>2011</v>
      </c>
      <c r="P44" s="88">
        <v>6</v>
      </c>
      <c r="Q44" s="88" t="s">
        <v>1965</v>
      </c>
      <c r="R44" s="88">
        <v>3</v>
      </c>
      <c r="S44" s="88"/>
      <c r="T44" s="88"/>
      <c r="U44" s="88" t="s">
        <v>1965</v>
      </c>
      <c r="V44" s="88">
        <v>6</v>
      </c>
    </row>
    <row r="45" spans="1:22" ht="15">
      <c r="A45" s="83" t="s">
        <v>1967</v>
      </c>
      <c r="B45" s="88">
        <v>91</v>
      </c>
      <c r="C45" s="88" t="s">
        <v>1972</v>
      </c>
      <c r="D45" s="88">
        <v>64</v>
      </c>
      <c r="E45" s="88" t="s">
        <v>1977</v>
      </c>
      <c r="F45" s="88">
        <v>7</v>
      </c>
      <c r="G45" s="88" t="s">
        <v>1985</v>
      </c>
      <c r="H45" s="88">
        <v>7</v>
      </c>
      <c r="I45" s="88" t="s">
        <v>1990</v>
      </c>
      <c r="J45" s="88">
        <v>7</v>
      </c>
      <c r="K45" s="88" t="s">
        <v>1970</v>
      </c>
      <c r="L45" s="88">
        <v>5</v>
      </c>
      <c r="M45" s="88" t="s">
        <v>2004</v>
      </c>
      <c r="N45" s="88">
        <v>2</v>
      </c>
      <c r="O45" s="88" t="s">
        <v>2012</v>
      </c>
      <c r="P45" s="88">
        <v>6</v>
      </c>
      <c r="Q45" s="88" t="s">
        <v>1944</v>
      </c>
      <c r="R45" s="88">
        <v>3</v>
      </c>
      <c r="S45" s="88"/>
      <c r="T45" s="88"/>
      <c r="U45" s="88" t="s">
        <v>2027</v>
      </c>
      <c r="V45" s="88">
        <v>6</v>
      </c>
    </row>
    <row r="46" spans="1:22" ht="15">
      <c r="A46" s="83" t="s">
        <v>1968</v>
      </c>
      <c r="B46" s="88">
        <v>82</v>
      </c>
      <c r="C46" s="88" t="s">
        <v>1970</v>
      </c>
      <c r="D46" s="88">
        <v>64</v>
      </c>
      <c r="E46" s="88" t="s">
        <v>1978</v>
      </c>
      <c r="F46" s="88">
        <v>7</v>
      </c>
      <c r="G46" s="88" t="s">
        <v>1986</v>
      </c>
      <c r="H46" s="88">
        <v>7</v>
      </c>
      <c r="I46" s="88" t="s">
        <v>1991</v>
      </c>
      <c r="J46" s="88">
        <v>7</v>
      </c>
      <c r="K46" s="88" t="s">
        <v>1998</v>
      </c>
      <c r="L46" s="88">
        <v>5</v>
      </c>
      <c r="M46" s="88" t="s">
        <v>2005</v>
      </c>
      <c r="N46" s="88">
        <v>2</v>
      </c>
      <c r="O46" s="88" t="s">
        <v>2013</v>
      </c>
      <c r="P46" s="88">
        <v>6</v>
      </c>
      <c r="Q46" s="88" t="s">
        <v>2019</v>
      </c>
      <c r="R46" s="88">
        <v>2</v>
      </c>
      <c r="S46" s="88"/>
      <c r="T46" s="88"/>
      <c r="U46" s="88" t="s">
        <v>2028</v>
      </c>
      <c r="V46" s="88">
        <v>6</v>
      </c>
    </row>
    <row r="47" spans="1:22" ht="15">
      <c r="A47" s="83" t="s">
        <v>1969</v>
      </c>
      <c r="B47" s="88">
        <v>80</v>
      </c>
      <c r="C47" s="88" t="s">
        <v>1965</v>
      </c>
      <c r="D47" s="88">
        <v>64</v>
      </c>
      <c r="E47" s="88" t="s">
        <v>1979</v>
      </c>
      <c r="F47" s="88">
        <v>7</v>
      </c>
      <c r="G47" s="88" t="s">
        <v>1968</v>
      </c>
      <c r="H47" s="88">
        <v>7</v>
      </c>
      <c r="I47" s="88" t="s">
        <v>1992</v>
      </c>
      <c r="J47" s="88">
        <v>7</v>
      </c>
      <c r="K47" s="88" t="s">
        <v>258</v>
      </c>
      <c r="L47" s="88">
        <v>4</v>
      </c>
      <c r="M47" s="88" t="s">
        <v>2006</v>
      </c>
      <c r="N47" s="88">
        <v>2</v>
      </c>
      <c r="O47" s="88" t="s">
        <v>2014</v>
      </c>
      <c r="P47" s="88">
        <v>6</v>
      </c>
      <c r="Q47" s="88" t="s">
        <v>2020</v>
      </c>
      <c r="R47" s="88">
        <v>2</v>
      </c>
      <c r="S47" s="88"/>
      <c r="T47" s="88"/>
      <c r="U47" s="88" t="s">
        <v>2029</v>
      </c>
      <c r="V47" s="88">
        <v>5</v>
      </c>
    </row>
    <row r="48" spans="1:22" ht="15">
      <c r="A48" s="83" t="s">
        <v>1970</v>
      </c>
      <c r="B48" s="88">
        <v>77</v>
      </c>
      <c r="C48" s="88" t="s">
        <v>1944</v>
      </c>
      <c r="D48" s="88">
        <v>64</v>
      </c>
      <c r="E48" s="88" t="s">
        <v>1980</v>
      </c>
      <c r="F48" s="88">
        <v>7</v>
      </c>
      <c r="G48" s="88" t="s">
        <v>1987</v>
      </c>
      <c r="H48" s="88">
        <v>6</v>
      </c>
      <c r="I48" s="88" t="s">
        <v>1993</v>
      </c>
      <c r="J48" s="88">
        <v>7</v>
      </c>
      <c r="K48" s="88" t="s">
        <v>1999</v>
      </c>
      <c r="L48" s="88">
        <v>4</v>
      </c>
      <c r="M48" s="88" t="s">
        <v>2007</v>
      </c>
      <c r="N48" s="88">
        <v>2</v>
      </c>
      <c r="O48" s="88" t="s">
        <v>1967</v>
      </c>
      <c r="P48" s="88">
        <v>6</v>
      </c>
      <c r="Q48" s="88" t="s">
        <v>2021</v>
      </c>
      <c r="R48" s="88">
        <v>2</v>
      </c>
      <c r="S48" s="88"/>
      <c r="T48" s="88"/>
      <c r="U48" s="88" t="s">
        <v>2030</v>
      </c>
      <c r="V48" s="88">
        <v>5</v>
      </c>
    </row>
    <row r="49" spans="1:22" ht="15">
      <c r="A49" s="83" t="s">
        <v>1971</v>
      </c>
      <c r="B49" s="88">
        <v>77</v>
      </c>
      <c r="C49" s="88" t="s">
        <v>1968</v>
      </c>
      <c r="D49" s="88">
        <v>64</v>
      </c>
      <c r="E49" s="88" t="s">
        <v>1981</v>
      </c>
      <c r="F49" s="88">
        <v>6</v>
      </c>
      <c r="G49" s="88" t="s">
        <v>1988</v>
      </c>
      <c r="H49" s="88">
        <v>6</v>
      </c>
      <c r="I49" s="88" t="s">
        <v>1994</v>
      </c>
      <c r="J49" s="88">
        <v>7</v>
      </c>
      <c r="K49" s="88" t="s">
        <v>2000</v>
      </c>
      <c r="L49" s="88">
        <v>3</v>
      </c>
      <c r="M49" s="88" t="s">
        <v>2008</v>
      </c>
      <c r="N49" s="88">
        <v>2</v>
      </c>
      <c r="O49" s="88" t="s">
        <v>1944</v>
      </c>
      <c r="P49" s="88">
        <v>6</v>
      </c>
      <c r="Q49" s="88" t="s">
        <v>2022</v>
      </c>
      <c r="R49" s="88">
        <v>2</v>
      </c>
      <c r="S49" s="88"/>
      <c r="T49" s="88"/>
      <c r="U49" s="88" t="s">
        <v>2031</v>
      </c>
      <c r="V49" s="88">
        <v>5</v>
      </c>
    </row>
    <row r="50" spans="1:22" ht="15">
      <c r="A50" s="83" t="s">
        <v>1972</v>
      </c>
      <c r="B50" s="88">
        <v>73</v>
      </c>
      <c r="C50" s="88" t="s">
        <v>1969</v>
      </c>
      <c r="D50" s="88">
        <v>64</v>
      </c>
      <c r="E50" s="88" t="s">
        <v>1982</v>
      </c>
      <c r="F50" s="88">
        <v>6</v>
      </c>
      <c r="G50" s="88" t="s">
        <v>1967</v>
      </c>
      <c r="H50" s="88">
        <v>5</v>
      </c>
      <c r="I50" s="88" t="s">
        <v>1995</v>
      </c>
      <c r="J50" s="88">
        <v>7</v>
      </c>
      <c r="K50" s="88" t="s">
        <v>376</v>
      </c>
      <c r="L50" s="88">
        <v>3</v>
      </c>
      <c r="M50" s="88" t="s">
        <v>2009</v>
      </c>
      <c r="N50" s="88">
        <v>2</v>
      </c>
      <c r="O50" s="88" t="s">
        <v>2015</v>
      </c>
      <c r="P50" s="88">
        <v>6</v>
      </c>
      <c r="Q50" s="88" t="s">
        <v>2023</v>
      </c>
      <c r="R50" s="88">
        <v>2</v>
      </c>
      <c r="S50" s="88"/>
      <c r="T50" s="88"/>
      <c r="U50" s="88" t="s">
        <v>2032</v>
      </c>
      <c r="V50" s="88">
        <v>5</v>
      </c>
    </row>
    <row r="53" spans="1:22" ht="15" customHeight="1">
      <c r="A53" s="13" t="s">
        <v>2058</v>
      </c>
      <c r="B53" s="13" t="s">
        <v>1832</v>
      </c>
      <c r="C53" s="13" t="s">
        <v>2069</v>
      </c>
      <c r="D53" s="13" t="s">
        <v>1839</v>
      </c>
      <c r="E53" s="13" t="s">
        <v>2072</v>
      </c>
      <c r="F53" s="13" t="s">
        <v>1849</v>
      </c>
      <c r="G53" s="13" t="s">
        <v>2080</v>
      </c>
      <c r="H53" s="13" t="s">
        <v>1861</v>
      </c>
      <c r="I53" s="13" t="s">
        <v>2090</v>
      </c>
      <c r="J53" s="13" t="s">
        <v>1863</v>
      </c>
      <c r="K53" s="13" t="s">
        <v>2101</v>
      </c>
      <c r="L53" s="13" t="s">
        <v>1868</v>
      </c>
      <c r="M53" s="13" t="s">
        <v>2109</v>
      </c>
      <c r="N53" s="13" t="s">
        <v>1872</v>
      </c>
      <c r="O53" s="13" t="s">
        <v>2120</v>
      </c>
      <c r="P53" s="13" t="s">
        <v>1874</v>
      </c>
      <c r="Q53" s="13" t="s">
        <v>2131</v>
      </c>
      <c r="R53" s="13" t="s">
        <v>1877</v>
      </c>
      <c r="S53" s="79" t="s">
        <v>2140</v>
      </c>
      <c r="T53" s="79" t="s">
        <v>1879</v>
      </c>
      <c r="U53" s="13" t="s">
        <v>2141</v>
      </c>
      <c r="V53" s="13" t="s">
        <v>1880</v>
      </c>
    </row>
    <row r="54" spans="1:22" ht="15">
      <c r="A54" s="88" t="s">
        <v>2059</v>
      </c>
      <c r="B54" s="88">
        <v>130</v>
      </c>
      <c r="C54" s="88" t="s">
        <v>2066</v>
      </c>
      <c r="D54" s="88">
        <v>64</v>
      </c>
      <c r="E54" s="88" t="s">
        <v>2060</v>
      </c>
      <c r="F54" s="88">
        <v>17</v>
      </c>
      <c r="G54" s="88" t="s">
        <v>2060</v>
      </c>
      <c r="H54" s="88">
        <v>9</v>
      </c>
      <c r="I54" s="88" t="s">
        <v>2091</v>
      </c>
      <c r="J54" s="88">
        <v>7</v>
      </c>
      <c r="K54" s="88" t="s">
        <v>2061</v>
      </c>
      <c r="L54" s="88">
        <v>5</v>
      </c>
      <c r="M54" s="88" t="s">
        <v>2110</v>
      </c>
      <c r="N54" s="88">
        <v>2</v>
      </c>
      <c r="O54" s="88" t="s">
        <v>2121</v>
      </c>
      <c r="P54" s="88">
        <v>6</v>
      </c>
      <c r="Q54" s="88" t="s">
        <v>2060</v>
      </c>
      <c r="R54" s="88">
        <v>3</v>
      </c>
      <c r="S54" s="88"/>
      <c r="T54" s="88"/>
      <c r="U54" s="88" t="s">
        <v>2060</v>
      </c>
      <c r="V54" s="88">
        <v>6</v>
      </c>
    </row>
    <row r="55" spans="1:22" ht="15">
      <c r="A55" s="83" t="s">
        <v>2060</v>
      </c>
      <c r="B55" s="88">
        <v>80</v>
      </c>
      <c r="C55" s="88" t="s">
        <v>2067</v>
      </c>
      <c r="D55" s="88">
        <v>64</v>
      </c>
      <c r="E55" s="88" t="s">
        <v>2059</v>
      </c>
      <c r="F55" s="88">
        <v>15</v>
      </c>
      <c r="G55" s="88" t="s">
        <v>2081</v>
      </c>
      <c r="H55" s="88">
        <v>4</v>
      </c>
      <c r="I55" s="88" t="s">
        <v>2092</v>
      </c>
      <c r="J55" s="88">
        <v>7</v>
      </c>
      <c r="K55" s="88" t="s">
        <v>2059</v>
      </c>
      <c r="L55" s="88">
        <v>5</v>
      </c>
      <c r="M55" s="88" t="s">
        <v>2111</v>
      </c>
      <c r="N55" s="88">
        <v>2</v>
      </c>
      <c r="O55" s="88" t="s">
        <v>2122</v>
      </c>
      <c r="P55" s="88">
        <v>6</v>
      </c>
      <c r="Q55" s="88" t="s">
        <v>2059</v>
      </c>
      <c r="R55" s="88">
        <v>3</v>
      </c>
      <c r="S55" s="88"/>
      <c r="T55" s="88"/>
      <c r="U55" s="88" t="s">
        <v>2142</v>
      </c>
      <c r="V55" s="88">
        <v>5</v>
      </c>
    </row>
    <row r="56" spans="1:22" ht="15">
      <c r="A56" s="83" t="s">
        <v>2061</v>
      </c>
      <c r="B56" s="88">
        <v>77</v>
      </c>
      <c r="C56" s="88" t="s">
        <v>2065</v>
      </c>
      <c r="D56" s="88">
        <v>64</v>
      </c>
      <c r="E56" s="88" t="s">
        <v>2073</v>
      </c>
      <c r="F56" s="88">
        <v>7</v>
      </c>
      <c r="G56" s="88" t="s">
        <v>2082</v>
      </c>
      <c r="H56" s="88">
        <v>4</v>
      </c>
      <c r="I56" s="88" t="s">
        <v>2093</v>
      </c>
      <c r="J56" s="88">
        <v>7</v>
      </c>
      <c r="K56" s="88" t="s">
        <v>2102</v>
      </c>
      <c r="L56" s="88">
        <v>5</v>
      </c>
      <c r="M56" s="88" t="s">
        <v>2112</v>
      </c>
      <c r="N56" s="88">
        <v>2</v>
      </c>
      <c r="O56" s="88" t="s">
        <v>2123</v>
      </c>
      <c r="P56" s="88">
        <v>6</v>
      </c>
      <c r="Q56" s="88" t="s">
        <v>2132</v>
      </c>
      <c r="R56" s="88">
        <v>2</v>
      </c>
      <c r="S56" s="88"/>
      <c r="T56" s="88"/>
      <c r="U56" s="88" t="s">
        <v>2143</v>
      </c>
      <c r="V56" s="88">
        <v>5</v>
      </c>
    </row>
    <row r="57" spans="1:22" ht="15">
      <c r="A57" s="83" t="s">
        <v>2062</v>
      </c>
      <c r="B57" s="88">
        <v>71</v>
      </c>
      <c r="C57" s="88" t="s">
        <v>2068</v>
      </c>
      <c r="D57" s="88">
        <v>64</v>
      </c>
      <c r="E57" s="88" t="s">
        <v>2074</v>
      </c>
      <c r="F57" s="88">
        <v>7</v>
      </c>
      <c r="G57" s="88" t="s">
        <v>2083</v>
      </c>
      <c r="H57" s="88">
        <v>4</v>
      </c>
      <c r="I57" s="88" t="s">
        <v>2094</v>
      </c>
      <c r="J57" s="88">
        <v>7</v>
      </c>
      <c r="K57" s="88" t="s">
        <v>2060</v>
      </c>
      <c r="L57" s="88">
        <v>4</v>
      </c>
      <c r="M57" s="88" t="s">
        <v>2113</v>
      </c>
      <c r="N57" s="88">
        <v>2</v>
      </c>
      <c r="O57" s="88" t="s">
        <v>2124</v>
      </c>
      <c r="P57" s="88">
        <v>6</v>
      </c>
      <c r="Q57" s="88" t="s">
        <v>2133</v>
      </c>
      <c r="R57" s="88">
        <v>2</v>
      </c>
      <c r="S57" s="88"/>
      <c r="T57" s="88"/>
      <c r="U57" s="88" t="s">
        <v>2144</v>
      </c>
      <c r="V57" s="88">
        <v>5</v>
      </c>
    </row>
    <row r="58" spans="1:22" ht="15">
      <c r="A58" s="83" t="s">
        <v>2063</v>
      </c>
      <c r="B58" s="88">
        <v>69</v>
      </c>
      <c r="C58" s="88" t="s">
        <v>2061</v>
      </c>
      <c r="D58" s="88">
        <v>64</v>
      </c>
      <c r="E58" s="88" t="s">
        <v>2075</v>
      </c>
      <c r="F58" s="88">
        <v>7</v>
      </c>
      <c r="G58" s="88" t="s">
        <v>2084</v>
      </c>
      <c r="H58" s="88">
        <v>4</v>
      </c>
      <c r="I58" s="88" t="s">
        <v>2095</v>
      </c>
      <c r="J58" s="88">
        <v>7</v>
      </c>
      <c r="K58" s="88" t="s">
        <v>2103</v>
      </c>
      <c r="L58" s="88">
        <v>3</v>
      </c>
      <c r="M58" s="88" t="s">
        <v>2114</v>
      </c>
      <c r="N58" s="88">
        <v>2</v>
      </c>
      <c r="O58" s="88" t="s">
        <v>2125</v>
      </c>
      <c r="P58" s="88">
        <v>6</v>
      </c>
      <c r="Q58" s="88" t="s">
        <v>2134</v>
      </c>
      <c r="R58" s="88">
        <v>2</v>
      </c>
      <c r="S58" s="88"/>
      <c r="T58" s="88"/>
      <c r="U58" s="88" t="s">
        <v>2145</v>
      </c>
      <c r="V58" s="88">
        <v>5</v>
      </c>
    </row>
    <row r="59" spans="1:22" ht="15">
      <c r="A59" s="83" t="s">
        <v>2064</v>
      </c>
      <c r="B59" s="88">
        <v>67</v>
      </c>
      <c r="C59" s="88" t="s">
        <v>2059</v>
      </c>
      <c r="D59" s="88">
        <v>64</v>
      </c>
      <c r="E59" s="88" t="s">
        <v>2076</v>
      </c>
      <c r="F59" s="88">
        <v>6</v>
      </c>
      <c r="G59" s="88" t="s">
        <v>2085</v>
      </c>
      <c r="H59" s="88">
        <v>4</v>
      </c>
      <c r="I59" s="88" t="s">
        <v>2096</v>
      </c>
      <c r="J59" s="88">
        <v>7</v>
      </c>
      <c r="K59" s="88" t="s">
        <v>2104</v>
      </c>
      <c r="L59" s="88">
        <v>3</v>
      </c>
      <c r="M59" s="88" t="s">
        <v>2115</v>
      </c>
      <c r="N59" s="88">
        <v>2</v>
      </c>
      <c r="O59" s="88" t="s">
        <v>2126</v>
      </c>
      <c r="P59" s="88">
        <v>6</v>
      </c>
      <c r="Q59" s="88" t="s">
        <v>2135</v>
      </c>
      <c r="R59" s="88">
        <v>2</v>
      </c>
      <c r="S59" s="88"/>
      <c r="T59" s="88"/>
      <c r="U59" s="88" t="s">
        <v>2146</v>
      </c>
      <c r="V59" s="88">
        <v>5</v>
      </c>
    </row>
    <row r="60" spans="1:22" ht="15">
      <c r="A60" s="83" t="s">
        <v>2065</v>
      </c>
      <c r="B60" s="88">
        <v>66</v>
      </c>
      <c r="C60" s="88" t="s">
        <v>2064</v>
      </c>
      <c r="D60" s="88">
        <v>64</v>
      </c>
      <c r="E60" s="88" t="s">
        <v>2077</v>
      </c>
      <c r="F60" s="88">
        <v>6</v>
      </c>
      <c r="G60" s="88" t="s">
        <v>2086</v>
      </c>
      <c r="H60" s="88">
        <v>4</v>
      </c>
      <c r="I60" s="88" t="s">
        <v>2097</v>
      </c>
      <c r="J60" s="88">
        <v>7</v>
      </c>
      <c r="K60" s="88" t="s">
        <v>2105</v>
      </c>
      <c r="L60" s="88">
        <v>2</v>
      </c>
      <c r="M60" s="88" t="s">
        <v>2116</v>
      </c>
      <c r="N60" s="88">
        <v>2</v>
      </c>
      <c r="O60" s="88" t="s">
        <v>2127</v>
      </c>
      <c r="P60" s="88">
        <v>6</v>
      </c>
      <c r="Q60" s="88" t="s">
        <v>2136</v>
      </c>
      <c r="R60" s="88">
        <v>2</v>
      </c>
      <c r="S60" s="88"/>
      <c r="T60" s="88"/>
      <c r="U60" s="88" t="s">
        <v>2147</v>
      </c>
      <c r="V60" s="88">
        <v>5</v>
      </c>
    </row>
    <row r="61" spans="1:22" ht="15">
      <c r="A61" s="83" t="s">
        <v>2066</v>
      </c>
      <c r="B61" s="88">
        <v>64</v>
      </c>
      <c r="C61" s="88" t="s">
        <v>2062</v>
      </c>
      <c r="D61" s="88">
        <v>64</v>
      </c>
      <c r="E61" s="88" t="s">
        <v>2078</v>
      </c>
      <c r="F61" s="88">
        <v>6</v>
      </c>
      <c r="G61" s="88" t="s">
        <v>2087</v>
      </c>
      <c r="H61" s="88">
        <v>4</v>
      </c>
      <c r="I61" s="88" t="s">
        <v>2098</v>
      </c>
      <c r="J61" s="88">
        <v>7</v>
      </c>
      <c r="K61" s="88" t="s">
        <v>2106</v>
      </c>
      <c r="L61" s="88">
        <v>2</v>
      </c>
      <c r="M61" s="88" t="s">
        <v>2117</v>
      </c>
      <c r="N61" s="88">
        <v>2</v>
      </c>
      <c r="O61" s="88" t="s">
        <v>2128</v>
      </c>
      <c r="P61" s="88">
        <v>6</v>
      </c>
      <c r="Q61" s="88" t="s">
        <v>2137</v>
      </c>
      <c r="R61" s="88">
        <v>2</v>
      </c>
      <c r="S61" s="88"/>
      <c r="T61" s="88"/>
      <c r="U61" s="88" t="s">
        <v>2148</v>
      </c>
      <c r="V61" s="88">
        <v>5</v>
      </c>
    </row>
    <row r="62" spans="1:22" ht="15">
      <c r="A62" s="83" t="s">
        <v>2067</v>
      </c>
      <c r="B62" s="88">
        <v>64</v>
      </c>
      <c r="C62" s="88" t="s">
        <v>2070</v>
      </c>
      <c r="D62" s="88">
        <v>64</v>
      </c>
      <c r="E62" s="88" t="s">
        <v>2079</v>
      </c>
      <c r="F62" s="88">
        <v>6</v>
      </c>
      <c r="G62" s="88" t="s">
        <v>2088</v>
      </c>
      <c r="H62" s="88">
        <v>4</v>
      </c>
      <c r="I62" s="88" t="s">
        <v>2099</v>
      </c>
      <c r="J62" s="88">
        <v>7</v>
      </c>
      <c r="K62" s="88" t="s">
        <v>2107</v>
      </c>
      <c r="L62" s="88">
        <v>2</v>
      </c>
      <c r="M62" s="88" t="s">
        <v>2118</v>
      </c>
      <c r="N62" s="88">
        <v>2</v>
      </c>
      <c r="O62" s="88" t="s">
        <v>2129</v>
      </c>
      <c r="P62" s="88">
        <v>6</v>
      </c>
      <c r="Q62" s="88" t="s">
        <v>2138</v>
      </c>
      <c r="R62" s="88">
        <v>2</v>
      </c>
      <c r="S62" s="88"/>
      <c r="T62" s="88"/>
      <c r="U62" s="88" t="s">
        <v>2149</v>
      </c>
      <c r="V62" s="88">
        <v>5</v>
      </c>
    </row>
    <row r="63" spans="1:22" ht="15">
      <c r="A63" s="83" t="s">
        <v>2068</v>
      </c>
      <c r="B63" s="88">
        <v>64</v>
      </c>
      <c r="C63" s="88" t="s">
        <v>2071</v>
      </c>
      <c r="D63" s="88">
        <v>64</v>
      </c>
      <c r="E63" s="88" t="s">
        <v>2061</v>
      </c>
      <c r="F63" s="88">
        <v>5</v>
      </c>
      <c r="G63" s="88" t="s">
        <v>2089</v>
      </c>
      <c r="H63" s="88">
        <v>4</v>
      </c>
      <c r="I63" s="88" t="s">
        <v>2100</v>
      </c>
      <c r="J63" s="88">
        <v>7</v>
      </c>
      <c r="K63" s="88" t="s">
        <v>2108</v>
      </c>
      <c r="L63" s="88">
        <v>2</v>
      </c>
      <c r="M63" s="88" t="s">
        <v>2119</v>
      </c>
      <c r="N63" s="88">
        <v>2</v>
      </c>
      <c r="O63" s="88" t="s">
        <v>2130</v>
      </c>
      <c r="P63" s="88">
        <v>6</v>
      </c>
      <c r="Q63" s="88" t="s">
        <v>2139</v>
      </c>
      <c r="R63" s="88">
        <v>2</v>
      </c>
      <c r="S63" s="88"/>
      <c r="T63" s="88"/>
      <c r="U63" s="88" t="s">
        <v>2059</v>
      </c>
      <c r="V63" s="88">
        <v>5</v>
      </c>
    </row>
    <row r="66" spans="1:22" ht="15" customHeight="1">
      <c r="A66" s="13" t="s">
        <v>2170</v>
      </c>
      <c r="B66" s="13" t="s">
        <v>1832</v>
      </c>
      <c r="C66" s="79" t="s">
        <v>2172</v>
      </c>
      <c r="D66" s="79" t="s">
        <v>1839</v>
      </c>
      <c r="E66" s="79" t="s">
        <v>2173</v>
      </c>
      <c r="F66" s="79" t="s">
        <v>1849</v>
      </c>
      <c r="G66" s="13" t="s">
        <v>2176</v>
      </c>
      <c r="H66" s="13" t="s">
        <v>1861</v>
      </c>
      <c r="I66" s="79" t="s">
        <v>2178</v>
      </c>
      <c r="J66" s="79" t="s">
        <v>1863</v>
      </c>
      <c r="K66" s="79" t="s">
        <v>2180</v>
      </c>
      <c r="L66" s="79" t="s">
        <v>1868</v>
      </c>
      <c r="M66" s="79" t="s">
        <v>2182</v>
      </c>
      <c r="N66" s="79" t="s">
        <v>1872</v>
      </c>
      <c r="O66" s="79" t="s">
        <v>2184</v>
      </c>
      <c r="P66" s="79" t="s">
        <v>1874</v>
      </c>
      <c r="Q66" s="13" t="s">
        <v>2186</v>
      </c>
      <c r="R66" s="13" t="s">
        <v>1877</v>
      </c>
      <c r="S66" s="13" t="s">
        <v>2188</v>
      </c>
      <c r="T66" s="13" t="s">
        <v>1879</v>
      </c>
      <c r="U66" s="79" t="s">
        <v>2190</v>
      </c>
      <c r="V66" s="79" t="s">
        <v>1880</v>
      </c>
    </row>
    <row r="67" spans="1:22" ht="15">
      <c r="A67" s="79" t="s">
        <v>405</v>
      </c>
      <c r="B67" s="79">
        <v>1</v>
      </c>
      <c r="C67" s="79"/>
      <c r="D67" s="79"/>
      <c r="E67" s="79"/>
      <c r="F67" s="79"/>
      <c r="G67" s="79" t="s">
        <v>395</v>
      </c>
      <c r="H67" s="79">
        <v>1</v>
      </c>
      <c r="I67" s="79"/>
      <c r="J67" s="79"/>
      <c r="K67" s="79"/>
      <c r="L67" s="79"/>
      <c r="M67" s="79"/>
      <c r="N67" s="79"/>
      <c r="O67" s="79"/>
      <c r="P67" s="79"/>
      <c r="Q67" s="79" t="s">
        <v>393</v>
      </c>
      <c r="R67" s="79">
        <v>1</v>
      </c>
      <c r="S67" s="79" t="s">
        <v>388</v>
      </c>
      <c r="T67" s="79">
        <v>1</v>
      </c>
      <c r="U67" s="79"/>
      <c r="V67" s="79"/>
    </row>
    <row r="68" spans="1:22" ht="15">
      <c r="A68" s="80" t="s">
        <v>400</v>
      </c>
      <c r="B68" s="79">
        <v>1</v>
      </c>
      <c r="C68" s="79"/>
      <c r="D68" s="79"/>
      <c r="E68" s="79"/>
      <c r="F68" s="79"/>
      <c r="G68" s="79"/>
      <c r="H68" s="79"/>
      <c r="I68" s="79"/>
      <c r="J68" s="79"/>
      <c r="K68" s="79"/>
      <c r="L68" s="79"/>
      <c r="M68" s="79"/>
      <c r="N68" s="79"/>
      <c r="O68" s="79"/>
      <c r="P68" s="79"/>
      <c r="Q68" s="79"/>
      <c r="R68" s="79"/>
      <c r="S68" s="79"/>
      <c r="T68" s="79"/>
      <c r="U68" s="79"/>
      <c r="V68" s="79"/>
    </row>
    <row r="69" spans="1:22" ht="15">
      <c r="A69" s="80" t="s">
        <v>395</v>
      </c>
      <c r="B69" s="79">
        <v>1</v>
      </c>
      <c r="C69" s="79"/>
      <c r="D69" s="79"/>
      <c r="E69" s="79"/>
      <c r="F69" s="79"/>
      <c r="G69" s="79"/>
      <c r="H69" s="79"/>
      <c r="I69" s="79"/>
      <c r="J69" s="79"/>
      <c r="K69" s="79"/>
      <c r="L69" s="79"/>
      <c r="M69" s="79"/>
      <c r="N69" s="79"/>
      <c r="O69" s="79"/>
      <c r="P69" s="79"/>
      <c r="Q69" s="79"/>
      <c r="R69" s="79"/>
      <c r="S69" s="79"/>
      <c r="T69" s="79"/>
      <c r="U69" s="79"/>
      <c r="V69" s="79"/>
    </row>
    <row r="70" spans="1:22" ht="15">
      <c r="A70" s="80" t="s">
        <v>393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388</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382</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278</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379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369</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368</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2171</v>
      </c>
      <c r="B79" s="13" t="s">
        <v>1832</v>
      </c>
      <c r="C79" s="13" t="s">
        <v>2174</v>
      </c>
      <c r="D79" s="13" t="s">
        <v>1839</v>
      </c>
      <c r="E79" s="79" t="s">
        <v>2175</v>
      </c>
      <c r="F79" s="79" t="s">
        <v>1849</v>
      </c>
      <c r="G79" s="13" t="s">
        <v>2177</v>
      </c>
      <c r="H79" s="13" t="s">
        <v>1861</v>
      </c>
      <c r="I79" s="13" t="s">
        <v>2179</v>
      </c>
      <c r="J79" s="13" t="s">
        <v>1863</v>
      </c>
      <c r="K79" s="13" t="s">
        <v>2181</v>
      </c>
      <c r="L79" s="13" t="s">
        <v>1868</v>
      </c>
      <c r="M79" s="13" t="s">
        <v>2183</v>
      </c>
      <c r="N79" s="13" t="s">
        <v>1872</v>
      </c>
      <c r="O79" s="79" t="s">
        <v>2185</v>
      </c>
      <c r="P79" s="79" t="s">
        <v>1874</v>
      </c>
      <c r="Q79" s="13" t="s">
        <v>2187</v>
      </c>
      <c r="R79" s="13" t="s">
        <v>1877</v>
      </c>
      <c r="S79" s="13" t="s">
        <v>2189</v>
      </c>
      <c r="T79" s="13" t="s">
        <v>1879</v>
      </c>
      <c r="U79" s="13" t="s">
        <v>2191</v>
      </c>
      <c r="V79" s="13" t="s">
        <v>1880</v>
      </c>
    </row>
    <row r="80" spans="1:22" ht="15">
      <c r="A80" s="79" t="s">
        <v>378</v>
      </c>
      <c r="B80" s="79">
        <v>64</v>
      </c>
      <c r="C80" s="79" t="s">
        <v>378</v>
      </c>
      <c r="D80" s="79">
        <v>64</v>
      </c>
      <c r="E80" s="79"/>
      <c r="F80" s="79"/>
      <c r="G80" s="79" t="s">
        <v>381</v>
      </c>
      <c r="H80" s="79">
        <v>4</v>
      </c>
      <c r="I80" s="79" t="s">
        <v>390</v>
      </c>
      <c r="J80" s="79">
        <v>10</v>
      </c>
      <c r="K80" s="79" t="s">
        <v>258</v>
      </c>
      <c r="L80" s="79">
        <v>4</v>
      </c>
      <c r="M80" s="79" t="s">
        <v>373</v>
      </c>
      <c r="N80" s="79">
        <v>3</v>
      </c>
      <c r="O80" s="79"/>
      <c r="P80" s="79"/>
      <c r="Q80" s="79" t="s">
        <v>389</v>
      </c>
      <c r="R80" s="79">
        <v>2</v>
      </c>
      <c r="S80" s="79" t="s">
        <v>387</v>
      </c>
      <c r="T80" s="79">
        <v>1</v>
      </c>
      <c r="U80" s="79" t="s">
        <v>365</v>
      </c>
      <c r="V80" s="79">
        <v>5</v>
      </c>
    </row>
    <row r="81" spans="1:22" ht="15">
      <c r="A81" s="80" t="s">
        <v>331</v>
      </c>
      <c r="B81" s="79">
        <v>64</v>
      </c>
      <c r="C81" s="79" t="s">
        <v>331</v>
      </c>
      <c r="D81" s="79">
        <v>64</v>
      </c>
      <c r="E81" s="79"/>
      <c r="F81" s="79"/>
      <c r="G81" s="79" t="s">
        <v>380</v>
      </c>
      <c r="H81" s="79">
        <v>4</v>
      </c>
      <c r="I81" s="79" t="s">
        <v>361</v>
      </c>
      <c r="J81" s="79">
        <v>8</v>
      </c>
      <c r="K81" s="79" t="s">
        <v>376</v>
      </c>
      <c r="L81" s="79">
        <v>3</v>
      </c>
      <c r="M81" s="79" t="s">
        <v>372</v>
      </c>
      <c r="N81" s="79">
        <v>2</v>
      </c>
      <c r="O81" s="79"/>
      <c r="P81" s="79"/>
      <c r="Q81" s="79" t="s">
        <v>392</v>
      </c>
      <c r="R81" s="79">
        <v>1</v>
      </c>
      <c r="S81" s="79" t="s">
        <v>386</v>
      </c>
      <c r="T81" s="79">
        <v>1</v>
      </c>
      <c r="U81" s="79"/>
      <c r="V81" s="79"/>
    </row>
    <row r="82" spans="1:22" ht="15">
      <c r="A82" s="80" t="s">
        <v>377</v>
      </c>
      <c r="B82" s="79">
        <v>63</v>
      </c>
      <c r="C82" s="79" t="s">
        <v>377</v>
      </c>
      <c r="D82" s="79">
        <v>63</v>
      </c>
      <c r="E82" s="79"/>
      <c r="F82" s="79"/>
      <c r="G82" s="79" t="s">
        <v>342</v>
      </c>
      <c r="H82" s="79">
        <v>2</v>
      </c>
      <c r="I82" s="79" t="s">
        <v>362</v>
      </c>
      <c r="J82" s="79">
        <v>4</v>
      </c>
      <c r="K82" s="79" t="s">
        <v>375</v>
      </c>
      <c r="L82" s="79">
        <v>1</v>
      </c>
      <c r="M82" s="79" t="s">
        <v>250</v>
      </c>
      <c r="N82" s="79">
        <v>2</v>
      </c>
      <c r="O82" s="79"/>
      <c r="P82" s="79"/>
      <c r="Q82" s="79" t="s">
        <v>391</v>
      </c>
      <c r="R82" s="79">
        <v>1</v>
      </c>
      <c r="S82" s="79" t="s">
        <v>385</v>
      </c>
      <c r="T82" s="79">
        <v>1</v>
      </c>
      <c r="U82" s="79"/>
      <c r="V82" s="79"/>
    </row>
    <row r="83" spans="1:22" ht="15">
      <c r="A83" s="80" t="s">
        <v>390</v>
      </c>
      <c r="B83" s="79">
        <v>10</v>
      </c>
      <c r="C83" s="79" t="s">
        <v>332</v>
      </c>
      <c r="D83" s="79">
        <v>9</v>
      </c>
      <c r="E83" s="79"/>
      <c r="F83" s="79"/>
      <c r="G83" s="79" t="s">
        <v>401</v>
      </c>
      <c r="H83" s="79">
        <v>2</v>
      </c>
      <c r="I83" s="79" t="s">
        <v>394</v>
      </c>
      <c r="J83" s="79">
        <v>2</v>
      </c>
      <c r="K83" s="79"/>
      <c r="L83" s="79"/>
      <c r="M83" s="79" t="s">
        <v>371</v>
      </c>
      <c r="N83" s="79">
        <v>2</v>
      </c>
      <c r="O83" s="79"/>
      <c r="P83" s="79"/>
      <c r="Q83" s="79"/>
      <c r="R83" s="79"/>
      <c r="S83" s="79" t="s">
        <v>384</v>
      </c>
      <c r="T83" s="79">
        <v>1</v>
      </c>
      <c r="U83" s="79"/>
      <c r="V83" s="79"/>
    </row>
    <row r="84" spans="1:22" ht="15">
      <c r="A84" s="80" t="s">
        <v>332</v>
      </c>
      <c r="B84" s="79">
        <v>9</v>
      </c>
      <c r="C84" s="79" t="s">
        <v>396</v>
      </c>
      <c r="D84" s="79">
        <v>1</v>
      </c>
      <c r="E84" s="79"/>
      <c r="F84" s="79"/>
      <c r="G84" s="79" t="s">
        <v>349</v>
      </c>
      <c r="H84" s="79">
        <v>2</v>
      </c>
      <c r="I84" s="79"/>
      <c r="J84" s="79"/>
      <c r="K84" s="79"/>
      <c r="L84" s="79"/>
      <c r="M84" s="79" t="s">
        <v>404</v>
      </c>
      <c r="N84" s="79">
        <v>1</v>
      </c>
      <c r="O84" s="79"/>
      <c r="P84" s="79"/>
      <c r="Q84" s="79"/>
      <c r="R84" s="79"/>
      <c r="S84" s="79"/>
      <c r="T84" s="79"/>
      <c r="U84" s="79"/>
      <c r="V84" s="79"/>
    </row>
    <row r="85" spans="1:22" ht="15">
      <c r="A85" s="80" t="s">
        <v>361</v>
      </c>
      <c r="B85" s="79">
        <v>8</v>
      </c>
      <c r="C85" s="79"/>
      <c r="D85" s="79"/>
      <c r="E85" s="79"/>
      <c r="F85" s="79"/>
      <c r="G85" s="79" t="s">
        <v>402</v>
      </c>
      <c r="H85" s="79">
        <v>2</v>
      </c>
      <c r="I85" s="79"/>
      <c r="J85" s="79"/>
      <c r="K85" s="79"/>
      <c r="L85" s="79"/>
      <c r="M85" s="79" t="s">
        <v>403</v>
      </c>
      <c r="N85" s="79">
        <v>1</v>
      </c>
      <c r="O85" s="79"/>
      <c r="P85" s="79"/>
      <c r="Q85" s="79"/>
      <c r="R85" s="79"/>
      <c r="S85" s="79"/>
      <c r="T85" s="79"/>
      <c r="U85" s="79"/>
      <c r="V85" s="79"/>
    </row>
    <row r="86" spans="1:22" ht="15">
      <c r="A86" s="80" t="s">
        <v>365</v>
      </c>
      <c r="B86" s="79">
        <v>5</v>
      </c>
      <c r="C86" s="79"/>
      <c r="D86" s="79"/>
      <c r="E86" s="79"/>
      <c r="F86" s="79"/>
      <c r="G86" s="79" t="s">
        <v>351</v>
      </c>
      <c r="H86" s="79">
        <v>2</v>
      </c>
      <c r="I86" s="79"/>
      <c r="J86" s="79"/>
      <c r="K86" s="79"/>
      <c r="L86" s="79"/>
      <c r="M86" s="79"/>
      <c r="N86" s="79"/>
      <c r="O86" s="79"/>
      <c r="P86" s="79"/>
      <c r="Q86" s="79"/>
      <c r="R86" s="79"/>
      <c r="S86" s="79"/>
      <c r="T86" s="79"/>
      <c r="U86" s="79"/>
      <c r="V86" s="79"/>
    </row>
    <row r="87" spans="1:22" ht="15">
      <c r="A87" s="80" t="s">
        <v>258</v>
      </c>
      <c r="B87" s="79">
        <v>4</v>
      </c>
      <c r="C87" s="79"/>
      <c r="D87" s="79"/>
      <c r="E87" s="79"/>
      <c r="F87" s="79"/>
      <c r="G87" s="79"/>
      <c r="H87" s="79"/>
      <c r="I87" s="79"/>
      <c r="J87" s="79"/>
      <c r="K87" s="79"/>
      <c r="L87" s="79"/>
      <c r="M87" s="79"/>
      <c r="N87" s="79"/>
      <c r="O87" s="79"/>
      <c r="P87" s="79"/>
      <c r="Q87" s="79"/>
      <c r="R87" s="79"/>
      <c r="S87" s="79"/>
      <c r="T87" s="79"/>
      <c r="U87" s="79"/>
      <c r="V87" s="79"/>
    </row>
    <row r="88" spans="1:22" ht="15">
      <c r="A88" s="80" t="s">
        <v>381</v>
      </c>
      <c r="B88" s="79">
        <v>4</v>
      </c>
      <c r="C88" s="79"/>
      <c r="D88" s="79"/>
      <c r="E88" s="79"/>
      <c r="F88" s="79"/>
      <c r="G88" s="79"/>
      <c r="H88" s="79"/>
      <c r="I88" s="79"/>
      <c r="J88" s="79"/>
      <c r="K88" s="79"/>
      <c r="L88" s="79"/>
      <c r="M88" s="79"/>
      <c r="N88" s="79"/>
      <c r="O88" s="79"/>
      <c r="P88" s="79"/>
      <c r="Q88" s="79"/>
      <c r="R88" s="79"/>
      <c r="S88" s="79"/>
      <c r="T88" s="79"/>
      <c r="U88" s="79"/>
      <c r="V88" s="79"/>
    </row>
    <row r="89" spans="1:22" ht="15">
      <c r="A89" s="80" t="s">
        <v>380</v>
      </c>
      <c r="B89" s="79">
        <v>4</v>
      </c>
      <c r="C89" s="79"/>
      <c r="D89" s="79"/>
      <c r="E89" s="79"/>
      <c r="F89" s="79"/>
      <c r="G89" s="79"/>
      <c r="H89" s="79"/>
      <c r="I89" s="79"/>
      <c r="J89" s="79"/>
      <c r="K89" s="79"/>
      <c r="L89" s="79"/>
      <c r="M89" s="79"/>
      <c r="N89" s="79"/>
      <c r="O89" s="79"/>
      <c r="P89" s="79"/>
      <c r="Q89" s="79"/>
      <c r="R89" s="79"/>
      <c r="S89" s="79"/>
      <c r="T89" s="79"/>
      <c r="U89" s="79"/>
      <c r="V89" s="79"/>
    </row>
    <row r="92" spans="1:22" ht="15" customHeight="1">
      <c r="A92" s="13" t="s">
        <v>2202</v>
      </c>
      <c r="B92" s="13" t="s">
        <v>1832</v>
      </c>
      <c r="C92" s="13" t="s">
        <v>2203</v>
      </c>
      <c r="D92" s="13" t="s">
        <v>1839</v>
      </c>
      <c r="E92" s="13" t="s">
        <v>2204</v>
      </c>
      <c r="F92" s="13" t="s">
        <v>1849</v>
      </c>
      <c r="G92" s="13" t="s">
        <v>2205</v>
      </c>
      <c r="H92" s="13" t="s">
        <v>1861</v>
      </c>
      <c r="I92" s="13" t="s">
        <v>2206</v>
      </c>
      <c r="J92" s="13" t="s">
        <v>1863</v>
      </c>
      <c r="K92" s="13" t="s">
        <v>2207</v>
      </c>
      <c r="L92" s="13" t="s">
        <v>1868</v>
      </c>
      <c r="M92" s="13" t="s">
        <v>2208</v>
      </c>
      <c r="N92" s="13" t="s">
        <v>1872</v>
      </c>
      <c r="O92" s="13" t="s">
        <v>2209</v>
      </c>
      <c r="P92" s="13" t="s">
        <v>1874</v>
      </c>
      <c r="Q92" s="13" t="s">
        <v>2210</v>
      </c>
      <c r="R92" s="13" t="s">
        <v>1877</v>
      </c>
      <c r="S92" s="13" t="s">
        <v>2211</v>
      </c>
      <c r="T92" s="13" t="s">
        <v>1879</v>
      </c>
      <c r="U92" s="13" t="s">
        <v>2212</v>
      </c>
      <c r="V92" s="13" t="s">
        <v>1880</v>
      </c>
    </row>
    <row r="93" spans="1:22" ht="15">
      <c r="A93" s="105" t="s">
        <v>264</v>
      </c>
      <c r="B93" s="79">
        <v>1344364</v>
      </c>
      <c r="C93" s="105" t="s">
        <v>264</v>
      </c>
      <c r="D93" s="79">
        <v>1344364</v>
      </c>
      <c r="E93" s="105" t="s">
        <v>284</v>
      </c>
      <c r="F93" s="79">
        <v>69201</v>
      </c>
      <c r="G93" s="105" t="s">
        <v>283</v>
      </c>
      <c r="H93" s="79">
        <v>67988</v>
      </c>
      <c r="I93" s="105" t="s">
        <v>308</v>
      </c>
      <c r="J93" s="79">
        <v>109620</v>
      </c>
      <c r="K93" s="105" t="s">
        <v>258</v>
      </c>
      <c r="L93" s="79">
        <v>8853</v>
      </c>
      <c r="M93" s="105" t="s">
        <v>249</v>
      </c>
      <c r="N93" s="79">
        <v>17818</v>
      </c>
      <c r="O93" s="105" t="s">
        <v>247</v>
      </c>
      <c r="P93" s="79">
        <v>23468</v>
      </c>
      <c r="Q93" s="105" t="s">
        <v>293</v>
      </c>
      <c r="R93" s="79">
        <v>152432</v>
      </c>
      <c r="S93" s="105" t="s">
        <v>388</v>
      </c>
      <c r="T93" s="79">
        <v>173588</v>
      </c>
      <c r="U93" s="105" t="s">
        <v>355</v>
      </c>
      <c r="V93" s="79">
        <v>31933</v>
      </c>
    </row>
    <row r="94" spans="1:22" ht="15">
      <c r="A94" s="106" t="s">
        <v>398</v>
      </c>
      <c r="B94" s="79">
        <v>319192</v>
      </c>
      <c r="C94" s="105" t="s">
        <v>342</v>
      </c>
      <c r="D94" s="79">
        <v>278402</v>
      </c>
      <c r="E94" s="105" t="s">
        <v>260</v>
      </c>
      <c r="F94" s="79">
        <v>47679</v>
      </c>
      <c r="G94" s="105" t="s">
        <v>347</v>
      </c>
      <c r="H94" s="79">
        <v>26193</v>
      </c>
      <c r="I94" s="105" t="s">
        <v>304</v>
      </c>
      <c r="J94" s="79">
        <v>63473</v>
      </c>
      <c r="K94" s="105" t="s">
        <v>237</v>
      </c>
      <c r="L94" s="79">
        <v>4543</v>
      </c>
      <c r="M94" s="105" t="s">
        <v>404</v>
      </c>
      <c r="N94" s="79">
        <v>10795</v>
      </c>
      <c r="O94" s="105" t="s">
        <v>252</v>
      </c>
      <c r="P94" s="79">
        <v>6737</v>
      </c>
      <c r="Q94" s="105" t="s">
        <v>389</v>
      </c>
      <c r="R94" s="79">
        <v>19363</v>
      </c>
      <c r="S94" s="105" t="s">
        <v>292</v>
      </c>
      <c r="T94" s="79">
        <v>95991</v>
      </c>
      <c r="U94" s="105" t="s">
        <v>364</v>
      </c>
      <c r="V94" s="79">
        <v>4175</v>
      </c>
    </row>
    <row r="95" spans="1:22" ht="15">
      <c r="A95" s="106" t="s">
        <v>342</v>
      </c>
      <c r="B95" s="79">
        <v>278402</v>
      </c>
      <c r="C95" s="105" t="s">
        <v>330</v>
      </c>
      <c r="D95" s="79">
        <v>245863</v>
      </c>
      <c r="E95" s="105" t="s">
        <v>338</v>
      </c>
      <c r="F95" s="79">
        <v>45598</v>
      </c>
      <c r="G95" s="105" t="s">
        <v>353</v>
      </c>
      <c r="H95" s="79">
        <v>20847</v>
      </c>
      <c r="I95" s="105" t="s">
        <v>305</v>
      </c>
      <c r="J95" s="79">
        <v>53598</v>
      </c>
      <c r="K95" s="105" t="s">
        <v>257</v>
      </c>
      <c r="L95" s="79">
        <v>2596</v>
      </c>
      <c r="M95" s="105" t="s">
        <v>372</v>
      </c>
      <c r="N95" s="79">
        <v>2431</v>
      </c>
      <c r="O95" s="105" t="s">
        <v>246</v>
      </c>
      <c r="P95" s="79">
        <v>3092</v>
      </c>
      <c r="Q95" s="105" t="s">
        <v>391</v>
      </c>
      <c r="R95" s="79">
        <v>13671</v>
      </c>
      <c r="S95" s="105" t="s">
        <v>384</v>
      </c>
      <c r="T95" s="79">
        <v>45769</v>
      </c>
      <c r="U95" s="105" t="s">
        <v>357</v>
      </c>
      <c r="V95" s="79">
        <v>1251</v>
      </c>
    </row>
    <row r="96" spans="1:22" ht="15">
      <c r="A96" s="106" t="s">
        <v>330</v>
      </c>
      <c r="B96" s="79">
        <v>245863</v>
      </c>
      <c r="C96" s="105" t="s">
        <v>261</v>
      </c>
      <c r="D96" s="79">
        <v>152689</v>
      </c>
      <c r="E96" s="105" t="s">
        <v>271</v>
      </c>
      <c r="F96" s="79">
        <v>40091</v>
      </c>
      <c r="G96" s="105" t="s">
        <v>351</v>
      </c>
      <c r="H96" s="79">
        <v>10254</v>
      </c>
      <c r="I96" s="105" t="s">
        <v>312</v>
      </c>
      <c r="J96" s="79">
        <v>25026</v>
      </c>
      <c r="K96" s="105" t="s">
        <v>238</v>
      </c>
      <c r="L96" s="79">
        <v>1914</v>
      </c>
      <c r="M96" s="105" t="s">
        <v>371</v>
      </c>
      <c r="N96" s="79">
        <v>1599</v>
      </c>
      <c r="O96" s="105" t="s">
        <v>320</v>
      </c>
      <c r="P96" s="79">
        <v>961</v>
      </c>
      <c r="Q96" s="105" t="s">
        <v>392</v>
      </c>
      <c r="R96" s="79">
        <v>1246</v>
      </c>
      <c r="S96" s="105" t="s">
        <v>385</v>
      </c>
      <c r="T96" s="79">
        <v>33646</v>
      </c>
      <c r="U96" s="105" t="s">
        <v>356</v>
      </c>
      <c r="V96" s="79">
        <v>1198</v>
      </c>
    </row>
    <row r="97" spans="1:22" ht="15">
      <c r="A97" s="106" t="s">
        <v>388</v>
      </c>
      <c r="B97" s="79">
        <v>173588</v>
      </c>
      <c r="C97" s="105" t="s">
        <v>321</v>
      </c>
      <c r="D97" s="79">
        <v>139554</v>
      </c>
      <c r="E97" s="105" t="s">
        <v>354</v>
      </c>
      <c r="F97" s="79">
        <v>36552</v>
      </c>
      <c r="G97" s="105" t="s">
        <v>349</v>
      </c>
      <c r="H97" s="79">
        <v>9409</v>
      </c>
      <c r="I97" s="105" t="s">
        <v>362</v>
      </c>
      <c r="J97" s="79">
        <v>23979</v>
      </c>
      <c r="K97" s="105" t="s">
        <v>239</v>
      </c>
      <c r="L97" s="79">
        <v>1809</v>
      </c>
      <c r="M97" s="105" t="s">
        <v>250</v>
      </c>
      <c r="N97" s="79">
        <v>1062</v>
      </c>
      <c r="O97" s="105" t="s">
        <v>319</v>
      </c>
      <c r="P97" s="79">
        <v>669</v>
      </c>
      <c r="Q97" s="105" t="s">
        <v>393</v>
      </c>
      <c r="R97" s="79">
        <v>439</v>
      </c>
      <c r="S97" s="105" t="s">
        <v>386</v>
      </c>
      <c r="T97" s="79">
        <v>3737</v>
      </c>
      <c r="U97" s="105" t="s">
        <v>365</v>
      </c>
      <c r="V97" s="79">
        <v>57</v>
      </c>
    </row>
    <row r="98" spans="1:22" ht="15">
      <c r="A98" s="106" t="s">
        <v>289</v>
      </c>
      <c r="B98" s="79">
        <v>164699</v>
      </c>
      <c r="C98" s="105" t="s">
        <v>333</v>
      </c>
      <c r="D98" s="79">
        <v>130338</v>
      </c>
      <c r="E98" s="105" t="s">
        <v>303</v>
      </c>
      <c r="F98" s="79">
        <v>34396</v>
      </c>
      <c r="G98" s="105" t="s">
        <v>352</v>
      </c>
      <c r="H98" s="79">
        <v>3965</v>
      </c>
      <c r="I98" s="105" t="s">
        <v>311</v>
      </c>
      <c r="J98" s="79">
        <v>11202</v>
      </c>
      <c r="K98" s="105" t="s">
        <v>359</v>
      </c>
      <c r="L98" s="79">
        <v>166</v>
      </c>
      <c r="M98" s="105" t="s">
        <v>403</v>
      </c>
      <c r="N98" s="79">
        <v>392</v>
      </c>
      <c r="O98" s="105" t="s">
        <v>318</v>
      </c>
      <c r="P98" s="79">
        <v>655</v>
      </c>
      <c r="Q98" s="105" t="s">
        <v>307</v>
      </c>
      <c r="R98" s="79">
        <v>406</v>
      </c>
      <c r="S98" s="105" t="s">
        <v>387</v>
      </c>
      <c r="T98" s="79">
        <v>129</v>
      </c>
      <c r="U98" s="105"/>
      <c r="V98" s="79"/>
    </row>
    <row r="99" spans="1:22" ht="15">
      <c r="A99" s="106" t="s">
        <v>328</v>
      </c>
      <c r="B99" s="79">
        <v>162671</v>
      </c>
      <c r="C99" s="105" t="s">
        <v>322</v>
      </c>
      <c r="D99" s="79">
        <v>105113</v>
      </c>
      <c r="E99" s="105" t="s">
        <v>290</v>
      </c>
      <c r="F99" s="79">
        <v>30263</v>
      </c>
      <c r="G99" s="105" t="s">
        <v>380</v>
      </c>
      <c r="H99" s="79">
        <v>2059</v>
      </c>
      <c r="I99" s="105" t="s">
        <v>390</v>
      </c>
      <c r="J99" s="79">
        <v>10555</v>
      </c>
      <c r="K99" s="105" t="s">
        <v>375</v>
      </c>
      <c r="L99" s="79">
        <v>164</v>
      </c>
      <c r="M99" s="105" t="s">
        <v>373</v>
      </c>
      <c r="N99" s="79">
        <v>269</v>
      </c>
      <c r="O99" s="105"/>
      <c r="P99" s="79"/>
      <c r="Q99" s="105"/>
      <c r="R99" s="79"/>
      <c r="S99" s="105"/>
      <c r="T99" s="79"/>
      <c r="U99" s="105"/>
      <c r="V99" s="79"/>
    </row>
    <row r="100" spans="1:22" ht="15">
      <c r="A100" s="106" t="s">
        <v>261</v>
      </c>
      <c r="B100" s="79">
        <v>152689</v>
      </c>
      <c r="C100" s="105" t="s">
        <v>306</v>
      </c>
      <c r="D100" s="79">
        <v>103274</v>
      </c>
      <c r="E100" s="105" t="s">
        <v>240</v>
      </c>
      <c r="F100" s="79">
        <v>24784</v>
      </c>
      <c r="G100" s="105" t="s">
        <v>344</v>
      </c>
      <c r="H100" s="79">
        <v>1909</v>
      </c>
      <c r="I100" s="105" t="s">
        <v>363</v>
      </c>
      <c r="J100" s="79">
        <v>9745</v>
      </c>
      <c r="K100" s="105" t="s">
        <v>376</v>
      </c>
      <c r="L100" s="79">
        <v>11</v>
      </c>
      <c r="M100" s="105" t="s">
        <v>358</v>
      </c>
      <c r="N100" s="79">
        <v>38</v>
      </c>
      <c r="O100" s="105"/>
      <c r="P100" s="79"/>
      <c r="Q100" s="105"/>
      <c r="R100" s="79"/>
      <c r="S100" s="105"/>
      <c r="T100" s="79"/>
      <c r="U100" s="105"/>
      <c r="V100" s="79"/>
    </row>
    <row r="101" spans="1:22" ht="15">
      <c r="A101" s="106" t="s">
        <v>293</v>
      </c>
      <c r="B101" s="79">
        <v>152432</v>
      </c>
      <c r="C101" s="105" t="s">
        <v>335</v>
      </c>
      <c r="D101" s="79">
        <v>92082</v>
      </c>
      <c r="E101" s="105" t="s">
        <v>315</v>
      </c>
      <c r="F101" s="79">
        <v>24584</v>
      </c>
      <c r="G101" s="105" t="s">
        <v>276</v>
      </c>
      <c r="H101" s="79">
        <v>1895</v>
      </c>
      <c r="I101" s="105" t="s">
        <v>317</v>
      </c>
      <c r="J101" s="79">
        <v>8342</v>
      </c>
      <c r="K101" s="105"/>
      <c r="L101" s="79"/>
      <c r="M101" s="105"/>
      <c r="N101" s="79"/>
      <c r="O101" s="105"/>
      <c r="P101" s="79"/>
      <c r="Q101" s="105"/>
      <c r="R101" s="79"/>
      <c r="S101" s="105"/>
      <c r="T101" s="79"/>
      <c r="U101" s="105"/>
      <c r="V101" s="79"/>
    </row>
    <row r="102" spans="1:22" ht="15">
      <c r="A102" s="106" t="s">
        <v>321</v>
      </c>
      <c r="B102" s="79">
        <v>139554</v>
      </c>
      <c r="C102" s="105" t="s">
        <v>265</v>
      </c>
      <c r="D102" s="79">
        <v>76932</v>
      </c>
      <c r="E102" s="105" t="s">
        <v>242</v>
      </c>
      <c r="F102" s="79">
        <v>16302</v>
      </c>
      <c r="G102" s="105" t="s">
        <v>259</v>
      </c>
      <c r="H102" s="79">
        <v>1887</v>
      </c>
      <c r="I102" s="105" t="s">
        <v>336</v>
      </c>
      <c r="J102" s="79">
        <v>2278</v>
      </c>
      <c r="K102" s="105"/>
      <c r="L102" s="79"/>
      <c r="M102" s="105"/>
      <c r="N102" s="79"/>
      <c r="O102" s="105"/>
      <c r="P102" s="79"/>
      <c r="Q102" s="105"/>
      <c r="R102" s="79"/>
      <c r="S102" s="105"/>
      <c r="T102" s="79"/>
      <c r="U102" s="105"/>
      <c r="V102" s="79"/>
    </row>
  </sheetData>
  <hyperlinks>
    <hyperlink ref="A2" r:id="rId1" display="https://vegnews.com/2021/10/ashton-kutcher-cell-based-meat"/>
    <hyperlink ref="A3" r:id="rId2" display="https://econ.trib.al/B6siniM"/>
    <hyperlink ref="A4" r:id="rId3" display="https://econ.trib.al/UuLdSAj"/>
    <hyperlink ref="A5" r:id="rId4" display="https://econ.trib.al/w1YeE88"/>
    <hyperlink ref="A6" r:id="rId5" display="https://www.economist.com/podcasts/2021/10/05/a-new-anthropocene-diet-the-future-of-food?utm_campaign=editorial-social&amp;utm_medium=social-organic&amp;utm_source=twitter"/>
    <hyperlink ref="A7" r:id="rId6" display="https://vision4thefuture.co/lab-made-dairy-products/"/>
    <hyperlink ref="A8" r:id="rId7" display="https://www.fooddive.com/news/75-of-cell-based-meat-companies-prefer-the-term-cultivated-for-their-pro/607500/"/>
    <hyperlink ref="A9" r:id="rId8" display="https://channels.ft.com/en/foodrevolution/lab-grown-meat-the-future-of-food/?utm_content=buffer9816a&amp;utm_medium=social&amp;utm_source=twitter.com&amp;utm_campaign=buffer"/>
    <hyperlink ref="A10" r:id="rId9" display="https://econ.trib.al/AoNqILv"/>
    <hyperlink ref="A11" r:id="rId10" display="https://econ.trib.al/fJkeRl8"/>
    <hyperlink ref="C2" r:id="rId11" display="https://econ.trib.al/UuLdSAj"/>
    <hyperlink ref="C3" r:id="rId12" display="https://econ.trib.al/B6siniM"/>
    <hyperlink ref="C4" r:id="rId13" display="https://econ.trib.al/w1YeE88"/>
    <hyperlink ref="C5" r:id="rId14" display="https://www.economist.com/podcasts/2021/10/05/a-new-anthropocene-diet-the-future-of-food?utm_campaign=editorial-social&amp;utm_medium=social-organic&amp;utm_source=twitter"/>
    <hyperlink ref="C6" r:id="rId15" display="https://econ.trib.al/AoNqILv"/>
    <hyperlink ref="C7" r:id="rId16" display="https://econ.trib.al/NL8KzOD"/>
    <hyperlink ref="C8" r:id="rId17" display="https://econ.trib.al/fJkeRl8"/>
    <hyperlink ref="C9" r:id="rId18" display="https://econ.trib.al/6yo11AH"/>
    <hyperlink ref="C10" r:id="rId19" display="https://econ.trib.al/BfqdN5n"/>
    <hyperlink ref="C11" r:id="rId20" display="https://econ.trib.al/hX2OEYl"/>
    <hyperlink ref="E2" r:id="rId21" display="https://www.fooddive.com/news/75-of-cell-based-meat-companies-prefer-the-term-cultivated-for-their-pro/607500/"/>
    <hyperlink ref="E3" r:id="rId22" display="https://vegnews.com/2021/10/ashton-kutcher-cell-based-meat"/>
    <hyperlink ref="E4" r:id="rId23" display="https://plantbasednews.org/lifestyle/food/cell-cultured-meat-could-hit-grocery-stores-in-next-5-years-predicts-expert/"/>
    <hyperlink ref="E5" r:id="rId24" display="https://www.meatpoultry.com/articles/25595-crowding-on-the-cell-based-bandwagon"/>
    <hyperlink ref="E6" r:id="rId25" display="https://www.ecowatch.com/cell-based-food-climate-change-2649951865.html"/>
    <hyperlink ref="E7" r:id="rId26" display="https://facebook.com/170838427821860/posts/373108070928227/?d=n"/>
    <hyperlink ref="E8" r:id="rId27" display="https://www.linkedin.com/slink?code=da6jQa5d"/>
    <hyperlink ref="E9" r:id="rId28" display="https://newrepublic.com/article/163857/lab-meat-marketing-gmo-foods"/>
    <hyperlink ref="E10" r:id="rId29" display="https://www.studyfinds.org/people-experience-pain-eating/"/>
    <hyperlink ref="E11" r:id="rId30" display="https://twitter.com/gregory_chupa/status/1446080921363492868"/>
    <hyperlink ref="G2" r:id="rId31" display="https://www.greenqueen.com.hk/amp/cell-based-meat-economy-boost/"/>
    <hyperlink ref="G3" r:id="rId32" display="https://www.greenqueen.com.hk/animal-alternative-technologies-renaissance-farm-cell-based-meat/?utm_content=bufferec53f&amp;utm_medium=social&amp;utm_source=twitter.com&amp;utm_campaign=buffer"/>
    <hyperlink ref="G4" r:id="rId33" display="https://www.greenqueen.com.hk/hong-kong-cell-based-meat-study/"/>
    <hyperlink ref="G5" r:id="rId34" display="https://www.economist.com/podcasts/2021/10/05/a-new-anthropocene-diet-the-future-of-food"/>
    <hyperlink ref="G6" r:id="rId35" display="https://www.foodingredientsfirst.com/news/cell-based-antelope-could-cultured-meat-unlock-southern-africas-nutrition-problems.html"/>
    <hyperlink ref="G7" r:id="rId36" display="https://techcrunch.com/2021/09/27/new-age-meats-bites-into-25m-for-cultured-meat-product-line-development/?utm_content=buffer97d50&amp;utm_medium=social&amp;utm_source=twitter.com&amp;utm_campaign=buffer"/>
    <hyperlink ref="G8" r:id="rId37" display="https://www.foodingredientsfirst.com/news/cell-based-antelope-could-cultured-meat-unlock-southern-africas-nutrition-problems.html#.YV2so6A7Z2A.twitter"/>
    <hyperlink ref="G9" r:id="rId38" display="https://www.facebook.com/PenangScienceCluster/videos/353356909554610"/>
    <hyperlink ref="G10" r:id="rId39" display="https://www.livekindly.co/singapore-startup-world-first-cultured-crab/"/>
    <hyperlink ref="G11" r:id="rId40" display="https://shiokmeats.com/shiok-meats-showcases-the-worlds-first-ever-cell-based-crab-meat-in-a-private-tasting-event/"/>
    <hyperlink ref="I2" r:id="rId41" display="https://vegnews.com/2021/10/ashton-kutcher-cell-based-meat"/>
    <hyperlink ref="K2" r:id="rId42" display="https://vegconomist.com/cultivated/herotein-partners-with-mission-barns-to-bring-first-hybrid-cultivated-plant-based-meat-products-to-china/"/>
    <hyperlink ref="K3" r:id="rId43" display="https://www.fooddive.com/news/75-of-cell-based-meat-companies-prefer-the-term-cultivated-for-their-pro/607500/"/>
    <hyperlink ref="K4" r:id="rId44" display="https://www.frontiersin.org/articles/10.3389/fsufs.2021.744199/full?utm_source=S-TWT&amp;utm_medium=SNET&amp;utm_campaign=ECO_FSUSTAIN_XXXXXXXX_auto-dlvrit"/>
    <hyperlink ref="K5" r:id="rId45" display="https://gfi.org/blog/cultivated-meat-a-growing-nomenclature-consensus/"/>
    <hyperlink ref="M2" r:id="rId46" display="https://medium.com/futurefood/one-week-in-a-post-18-plant-based-ingredients-you-can-pronounce-celebs-craziness-on-cellular-ag-30e1b1a51a40"/>
    <hyperlink ref="M3" r:id="rId47" display="https://www.linkedin.com/pulse/why-you-should-keep-your-eye-cell-based-meat-kory-zelickson-/"/>
    <hyperlink ref="O2" r:id="rId48" display="https://vision4thefuture.co/lab-made-dairy-products/"/>
    <hyperlink ref="Q2" r:id="rId49" display="https://www.linkedin.com/pulse/gfis-attempt-dismiss-counter-story-cell-based-meat-paul-wood-ao"/>
    <hyperlink ref="S2" r:id="rId50" display="https://vegnews.com/2021/10/ashton-kutcher-cell-based-meat"/>
    <hyperlink ref="U2" r:id="rId51" display="https://channels.ft.com/en/foodrevolution/lab-grown-meat-the-future-of-food/?utm_content=buffer9816a&amp;utm_medium=social&amp;utm_source=twitter.com&amp;utm_campaign=buffer"/>
    <hyperlink ref="U3" r:id="rId52" display="https://techcrunch.com/2021/09/27/new-age-meats-bites-into-25m-for-cultured-meat-product-line-development/?utm_content=buffer97d50&amp;utm_medium=social&amp;utm_source=twitter.com&amp;utm_campaign=buffer"/>
  </hyperlinks>
  <printOptions/>
  <pageMargins left="0.7" right="0.7" top="0.75" bottom="0.75" header="0.3" footer="0.3"/>
  <pageSetup orientation="portrait" paperSize="9"/>
  <tableParts>
    <tablePart r:id="rId54"/>
    <tablePart r:id="rId55"/>
    <tablePart r:id="rId53"/>
    <tablePart r:id="rId60"/>
    <tablePart r:id="rId59"/>
    <tablePart r:id="rId56"/>
    <tablePart r:id="rId58"/>
    <tablePart r:id="rId5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3F5ED-B5B3-40E8-B524-DA3B099FE2DC}">
  <dimension ref="A1:G8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2417</v>
      </c>
      <c r="B1" s="13" t="s">
        <v>2709</v>
      </c>
      <c r="C1" s="13" t="s">
        <v>2713</v>
      </c>
      <c r="D1" s="13" t="s">
        <v>144</v>
      </c>
      <c r="E1" s="13" t="s">
        <v>2715</v>
      </c>
      <c r="F1" s="13" t="s">
        <v>2716</v>
      </c>
      <c r="G1" s="13" t="s">
        <v>2717</v>
      </c>
    </row>
    <row r="2" spans="1:7" ht="15">
      <c r="A2" s="79" t="s">
        <v>2418</v>
      </c>
      <c r="B2" s="79" t="s">
        <v>2710</v>
      </c>
      <c r="C2" s="109"/>
      <c r="D2" s="79"/>
      <c r="E2" s="79"/>
      <c r="F2" s="79"/>
      <c r="G2" s="79"/>
    </row>
    <row r="3" spans="1:7" ht="15">
      <c r="A3" s="80" t="s">
        <v>2419</v>
      </c>
      <c r="B3" s="79" t="s">
        <v>2711</v>
      </c>
      <c r="C3" s="109"/>
      <c r="D3" s="79"/>
      <c r="E3" s="79"/>
      <c r="F3" s="79"/>
      <c r="G3" s="79"/>
    </row>
    <row r="4" spans="1:7" ht="15">
      <c r="A4" s="80" t="s">
        <v>2420</v>
      </c>
      <c r="B4" s="79" t="s">
        <v>2712</v>
      </c>
      <c r="C4" s="109"/>
      <c r="D4" s="79"/>
      <c r="E4" s="79"/>
      <c r="F4" s="79"/>
      <c r="G4" s="79"/>
    </row>
    <row r="5" spans="1:7" ht="15">
      <c r="A5" s="80" t="s">
        <v>2421</v>
      </c>
      <c r="B5" s="79">
        <v>78</v>
      </c>
      <c r="C5" s="109">
        <v>0.014595808383233533</v>
      </c>
      <c r="D5" s="79"/>
      <c r="E5" s="79"/>
      <c r="F5" s="79"/>
      <c r="G5" s="79"/>
    </row>
    <row r="6" spans="1:7" ht="15">
      <c r="A6" s="80" t="s">
        <v>2422</v>
      </c>
      <c r="B6" s="79">
        <v>28</v>
      </c>
      <c r="C6" s="109">
        <v>0.005239520958083832</v>
      </c>
      <c r="D6" s="79"/>
      <c r="E6" s="79"/>
      <c r="F6" s="79"/>
      <c r="G6" s="79"/>
    </row>
    <row r="7" spans="1:7" ht="15">
      <c r="A7" s="80" t="s">
        <v>2423</v>
      </c>
      <c r="B7" s="79">
        <v>0</v>
      </c>
      <c r="C7" s="109">
        <v>0</v>
      </c>
      <c r="D7" s="79"/>
      <c r="E7" s="79"/>
      <c r="F7" s="79"/>
      <c r="G7" s="79"/>
    </row>
    <row r="8" spans="1:7" ht="15">
      <c r="A8" s="80" t="s">
        <v>2424</v>
      </c>
      <c r="B8" s="79">
        <v>5238</v>
      </c>
      <c r="C8" s="109">
        <v>0.9801646706586827</v>
      </c>
      <c r="D8" s="79"/>
      <c r="E8" s="79"/>
      <c r="F8" s="79"/>
      <c r="G8" s="79"/>
    </row>
    <row r="9" spans="1:7" ht="15">
      <c r="A9" s="80" t="s">
        <v>2425</v>
      </c>
      <c r="B9" s="79">
        <v>5344</v>
      </c>
      <c r="C9" s="109">
        <v>1</v>
      </c>
      <c r="D9" s="79"/>
      <c r="E9" s="79"/>
      <c r="F9" s="79"/>
      <c r="G9" s="79"/>
    </row>
    <row r="10" spans="1:7" ht="15">
      <c r="A10" s="83" t="s">
        <v>1944</v>
      </c>
      <c r="B10" s="88">
        <v>201</v>
      </c>
      <c r="C10" s="110">
        <v>0.0019205247907685668</v>
      </c>
      <c r="D10" s="88" t="s">
        <v>2714</v>
      </c>
      <c r="E10" s="88" t="b">
        <v>0</v>
      </c>
      <c r="F10" s="88" t="b">
        <v>0</v>
      </c>
      <c r="G10" s="88" t="b">
        <v>0</v>
      </c>
    </row>
    <row r="11" spans="1:7" ht="15">
      <c r="A11" s="83" t="s">
        <v>1964</v>
      </c>
      <c r="B11" s="88">
        <v>170</v>
      </c>
      <c r="C11" s="110">
        <v>0.004188727699240326</v>
      </c>
      <c r="D11" s="88" t="s">
        <v>2714</v>
      </c>
      <c r="E11" s="88" t="b">
        <v>0</v>
      </c>
      <c r="F11" s="88" t="b">
        <v>0</v>
      </c>
      <c r="G11" s="88" t="b">
        <v>0</v>
      </c>
    </row>
    <row r="12" spans="1:7" ht="15">
      <c r="A12" s="83" t="s">
        <v>1965</v>
      </c>
      <c r="B12" s="88">
        <v>167</v>
      </c>
      <c r="C12" s="110">
        <v>0.003981223610943169</v>
      </c>
      <c r="D12" s="88" t="s">
        <v>2714</v>
      </c>
      <c r="E12" s="88" t="b">
        <v>0</v>
      </c>
      <c r="F12" s="88" t="b">
        <v>0</v>
      </c>
      <c r="G12" s="88" t="b">
        <v>0</v>
      </c>
    </row>
    <row r="13" spans="1:7" ht="15">
      <c r="A13" s="83" t="s">
        <v>1966</v>
      </c>
      <c r="B13" s="88">
        <v>131</v>
      </c>
      <c r="C13" s="110">
        <v>0.016509881623543426</v>
      </c>
      <c r="D13" s="88" t="s">
        <v>2714</v>
      </c>
      <c r="E13" s="88" t="b">
        <v>0</v>
      </c>
      <c r="F13" s="88" t="b">
        <v>0</v>
      </c>
      <c r="G13" s="88" t="b">
        <v>0</v>
      </c>
    </row>
    <row r="14" spans="1:7" ht="15">
      <c r="A14" s="83" t="s">
        <v>1967</v>
      </c>
      <c r="B14" s="88">
        <v>91</v>
      </c>
      <c r="C14" s="110">
        <v>0.008422296587264932</v>
      </c>
      <c r="D14" s="88" t="s">
        <v>2714</v>
      </c>
      <c r="E14" s="88" t="b">
        <v>0</v>
      </c>
      <c r="F14" s="88" t="b">
        <v>0</v>
      </c>
      <c r="G14" s="88" t="b">
        <v>0</v>
      </c>
    </row>
    <row r="15" spans="1:7" ht="15">
      <c r="A15" s="83" t="s">
        <v>1968</v>
      </c>
      <c r="B15" s="88">
        <v>82</v>
      </c>
      <c r="C15" s="110">
        <v>0.008300332440070156</v>
      </c>
      <c r="D15" s="88" t="s">
        <v>2714</v>
      </c>
      <c r="E15" s="88" t="b">
        <v>0</v>
      </c>
      <c r="F15" s="88" t="b">
        <v>0</v>
      </c>
      <c r="G15" s="88" t="b">
        <v>0</v>
      </c>
    </row>
    <row r="16" spans="1:7" ht="15">
      <c r="A16" s="83" t="s">
        <v>1969</v>
      </c>
      <c r="B16" s="88">
        <v>80</v>
      </c>
      <c r="C16" s="110">
        <v>0.00846399808303212</v>
      </c>
      <c r="D16" s="88" t="s">
        <v>2714</v>
      </c>
      <c r="E16" s="88" t="b">
        <v>0</v>
      </c>
      <c r="F16" s="88" t="b">
        <v>0</v>
      </c>
      <c r="G16" s="88" t="b">
        <v>0</v>
      </c>
    </row>
    <row r="17" spans="1:7" ht="15">
      <c r="A17" s="83" t="s">
        <v>1970</v>
      </c>
      <c r="B17" s="88">
        <v>77</v>
      </c>
      <c r="C17" s="110">
        <v>0.008637853102106168</v>
      </c>
      <c r="D17" s="88" t="s">
        <v>2714</v>
      </c>
      <c r="E17" s="88" t="b">
        <v>0</v>
      </c>
      <c r="F17" s="88" t="b">
        <v>0</v>
      </c>
      <c r="G17" s="88" t="b">
        <v>0</v>
      </c>
    </row>
    <row r="18" spans="1:7" ht="15">
      <c r="A18" s="83" t="s">
        <v>1971</v>
      </c>
      <c r="B18" s="88">
        <v>77</v>
      </c>
      <c r="C18" s="110">
        <v>0.008512625699092308</v>
      </c>
      <c r="D18" s="88" t="s">
        <v>2714</v>
      </c>
      <c r="E18" s="88" t="b">
        <v>0</v>
      </c>
      <c r="F18" s="88" t="b">
        <v>0</v>
      </c>
      <c r="G18" s="88" t="b">
        <v>0</v>
      </c>
    </row>
    <row r="19" spans="1:7" ht="15">
      <c r="A19" s="83" t="s">
        <v>1972</v>
      </c>
      <c r="B19" s="88">
        <v>73</v>
      </c>
      <c r="C19" s="110">
        <v>0.0084314018909729</v>
      </c>
      <c r="D19" s="88" t="s">
        <v>2714</v>
      </c>
      <c r="E19" s="88" t="b">
        <v>0</v>
      </c>
      <c r="F19" s="88" t="b">
        <v>0</v>
      </c>
      <c r="G19" s="88" t="b">
        <v>0</v>
      </c>
    </row>
    <row r="20" spans="1:7" ht="15">
      <c r="A20" s="83" t="s">
        <v>2426</v>
      </c>
      <c r="B20" s="88">
        <v>70</v>
      </c>
      <c r="C20" s="110">
        <v>0.008445589385512283</v>
      </c>
      <c r="D20" s="88" t="s">
        <v>2714</v>
      </c>
      <c r="E20" s="88" t="b">
        <v>0</v>
      </c>
      <c r="F20" s="88" t="b">
        <v>0</v>
      </c>
      <c r="G20" s="88" t="b">
        <v>0</v>
      </c>
    </row>
    <row r="21" spans="1:7" ht="15">
      <c r="A21" s="83" t="s">
        <v>2427</v>
      </c>
      <c r="B21" s="88">
        <v>65</v>
      </c>
      <c r="C21" s="110">
        <v>0.008433795940934923</v>
      </c>
      <c r="D21" s="88" t="s">
        <v>2714</v>
      </c>
      <c r="E21" s="88" t="b">
        <v>0</v>
      </c>
      <c r="F21" s="88" t="b">
        <v>0</v>
      </c>
      <c r="G21" s="88" t="b">
        <v>0</v>
      </c>
    </row>
    <row r="22" spans="1:7" ht="15">
      <c r="A22" s="83" t="s">
        <v>1974</v>
      </c>
      <c r="B22" s="88">
        <v>64</v>
      </c>
      <c r="C22" s="110">
        <v>0.008425881957412257</v>
      </c>
      <c r="D22" s="88" t="s">
        <v>2714</v>
      </c>
      <c r="E22" s="88" t="b">
        <v>0</v>
      </c>
      <c r="F22" s="88" t="b">
        <v>0</v>
      </c>
      <c r="G22" s="88" t="b">
        <v>0</v>
      </c>
    </row>
    <row r="23" spans="1:7" ht="15">
      <c r="A23" s="83" t="s">
        <v>378</v>
      </c>
      <c r="B23" s="88">
        <v>64</v>
      </c>
      <c r="C23" s="110">
        <v>0.008425881957412257</v>
      </c>
      <c r="D23" s="88" t="s">
        <v>2714</v>
      </c>
      <c r="E23" s="88" t="b">
        <v>0</v>
      </c>
      <c r="F23" s="88" t="b">
        <v>0</v>
      </c>
      <c r="G23" s="88" t="b">
        <v>0</v>
      </c>
    </row>
    <row r="24" spans="1:7" ht="15">
      <c r="A24" s="83" t="s">
        <v>331</v>
      </c>
      <c r="B24" s="88">
        <v>64</v>
      </c>
      <c r="C24" s="110">
        <v>0.008425881957412257</v>
      </c>
      <c r="D24" s="88" t="s">
        <v>2714</v>
      </c>
      <c r="E24" s="88" t="b">
        <v>0</v>
      </c>
      <c r="F24" s="88" t="b">
        <v>0</v>
      </c>
      <c r="G24" s="88" t="b">
        <v>0</v>
      </c>
    </row>
    <row r="25" spans="1:7" ht="15">
      <c r="A25" s="83" t="s">
        <v>2428</v>
      </c>
      <c r="B25" s="88">
        <v>64</v>
      </c>
      <c r="C25" s="110">
        <v>0.008425881957412257</v>
      </c>
      <c r="D25" s="88" t="s">
        <v>2714</v>
      </c>
      <c r="E25" s="88" t="b">
        <v>0</v>
      </c>
      <c r="F25" s="88" t="b">
        <v>0</v>
      </c>
      <c r="G25" s="88" t="b">
        <v>0</v>
      </c>
    </row>
    <row r="26" spans="1:7" ht="15">
      <c r="A26" s="83" t="s">
        <v>2429</v>
      </c>
      <c r="B26" s="88">
        <v>64</v>
      </c>
      <c r="C26" s="110">
        <v>0.008425881957412257</v>
      </c>
      <c r="D26" s="88" t="s">
        <v>2714</v>
      </c>
      <c r="E26" s="88" t="b">
        <v>0</v>
      </c>
      <c r="F26" s="88" t="b">
        <v>0</v>
      </c>
      <c r="G26" s="88" t="b">
        <v>0</v>
      </c>
    </row>
    <row r="27" spans="1:7" ht="15">
      <c r="A27" s="83" t="s">
        <v>2430</v>
      </c>
      <c r="B27" s="88">
        <v>64</v>
      </c>
      <c r="C27" s="110">
        <v>0.008425881957412257</v>
      </c>
      <c r="D27" s="88" t="s">
        <v>2714</v>
      </c>
      <c r="E27" s="88" t="b">
        <v>0</v>
      </c>
      <c r="F27" s="88" t="b">
        <v>0</v>
      </c>
      <c r="G27" s="88" t="b">
        <v>0</v>
      </c>
    </row>
    <row r="28" spans="1:7" ht="15">
      <c r="A28" s="83" t="s">
        <v>2431</v>
      </c>
      <c r="B28" s="88">
        <v>64</v>
      </c>
      <c r="C28" s="110">
        <v>0.008425881957412257</v>
      </c>
      <c r="D28" s="88" t="s">
        <v>2714</v>
      </c>
      <c r="E28" s="88" t="b">
        <v>0</v>
      </c>
      <c r="F28" s="88" t="b">
        <v>0</v>
      </c>
      <c r="G28" s="88" t="b">
        <v>0</v>
      </c>
    </row>
    <row r="29" spans="1:7" ht="15">
      <c r="A29" s="83" t="s">
        <v>2432</v>
      </c>
      <c r="B29" s="88">
        <v>64</v>
      </c>
      <c r="C29" s="110">
        <v>0.008425881957412257</v>
      </c>
      <c r="D29" s="88" t="s">
        <v>2714</v>
      </c>
      <c r="E29" s="88" t="b">
        <v>0</v>
      </c>
      <c r="F29" s="88" t="b">
        <v>0</v>
      </c>
      <c r="G29" s="88" t="b">
        <v>0</v>
      </c>
    </row>
    <row r="30" spans="1:7" ht="15">
      <c r="A30" s="83" t="s">
        <v>377</v>
      </c>
      <c r="B30" s="88">
        <v>63</v>
      </c>
      <c r="C30" s="110">
        <v>0.008416049362800054</v>
      </c>
      <c r="D30" s="88" t="s">
        <v>2714</v>
      </c>
      <c r="E30" s="88" t="b">
        <v>0</v>
      </c>
      <c r="F30" s="88" t="b">
        <v>0</v>
      </c>
      <c r="G30" s="88" t="b">
        <v>0</v>
      </c>
    </row>
    <row r="31" spans="1:7" ht="15">
      <c r="A31" s="83" t="s">
        <v>1979</v>
      </c>
      <c r="B31" s="88">
        <v>22</v>
      </c>
      <c r="C31" s="110">
        <v>0.005780948930086073</v>
      </c>
      <c r="D31" s="88" t="s">
        <v>2714</v>
      </c>
      <c r="E31" s="88" t="b">
        <v>0</v>
      </c>
      <c r="F31" s="88" t="b">
        <v>0</v>
      </c>
      <c r="G31" s="88" t="b">
        <v>0</v>
      </c>
    </row>
    <row r="32" spans="1:7" ht="15">
      <c r="A32" s="83" t="s">
        <v>1978</v>
      </c>
      <c r="B32" s="88">
        <v>19</v>
      </c>
      <c r="C32" s="110">
        <v>0.0053346542567401</v>
      </c>
      <c r="D32" s="88" t="s">
        <v>2714</v>
      </c>
      <c r="E32" s="88" t="b">
        <v>0</v>
      </c>
      <c r="F32" s="88" t="b">
        <v>0</v>
      </c>
      <c r="G32" s="88" t="b">
        <v>0</v>
      </c>
    </row>
    <row r="33" spans="1:7" ht="15">
      <c r="A33" s="83" t="s">
        <v>1991</v>
      </c>
      <c r="B33" s="88">
        <v>17</v>
      </c>
      <c r="C33" s="110">
        <v>0.0050052800813372425</v>
      </c>
      <c r="D33" s="88" t="s">
        <v>2714</v>
      </c>
      <c r="E33" s="88" t="b">
        <v>0</v>
      </c>
      <c r="F33" s="88" t="b">
        <v>0</v>
      </c>
      <c r="G33" s="88" t="b">
        <v>0</v>
      </c>
    </row>
    <row r="34" spans="1:7" ht="15">
      <c r="A34" s="83" t="s">
        <v>1997</v>
      </c>
      <c r="B34" s="88">
        <v>17</v>
      </c>
      <c r="C34" s="110">
        <v>0.0052665411103121</v>
      </c>
      <c r="D34" s="88" t="s">
        <v>2714</v>
      </c>
      <c r="E34" s="88" t="b">
        <v>0</v>
      </c>
      <c r="F34" s="88" t="b">
        <v>0</v>
      </c>
      <c r="G34" s="88" t="b">
        <v>0</v>
      </c>
    </row>
    <row r="35" spans="1:7" ht="15">
      <c r="A35" s="83" t="s">
        <v>2012</v>
      </c>
      <c r="B35" s="88">
        <v>17</v>
      </c>
      <c r="C35" s="110">
        <v>0.0050052800813372425</v>
      </c>
      <c r="D35" s="88" t="s">
        <v>2714</v>
      </c>
      <c r="E35" s="88" t="b">
        <v>0</v>
      </c>
      <c r="F35" s="88" t="b">
        <v>0</v>
      </c>
      <c r="G35" s="88" t="b">
        <v>0</v>
      </c>
    </row>
    <row r="36" spans="1:7" ht="15">
      <c r="A36" s="83" t="s">
        <v>1984</v>
      </c>
      <c r="B36" s="88">
        <v>17</v>
      </c>
      <c r="C36" s="110">
        <v>0.005410554341133853</v>
      </c>
      <c r="D36" s="88" t="s">
        <v>2714</v>
      </c>
      <c r="E36" s="88" t="b">
        <v>0</v>
      </c>
      <c r="F36" s="88" t="b">
        <v>0</v>
      </c>
      <c r="G36" s="88" t="b">
        <v>0</v>
      </c>
    </row>
    <row r="37" spans="1:7" ht="15">
      <c r="A37" s="83" t="s">
        <v>1987</v>
      </c>
      <c r="B37" s="88">
        <v>16</v>
      </c>
      <c r="C37" s="110">
        <v>0.006191695197261206</v>
      </c>
      <c r="D37" s="88" t="s">
        <v>2714</v>
      </c>
      <c r="E37" s="88" t="b">
        <v>0</v>
      </c>
      <c r="F37" s="88" t="b">
        <v>0</v>
      </c>
      <c r="G37" s="88" t="b">
        <v>0</v>
      </c>
    </row>
    <row r="38" spans="1:7" ht="15">
      <c r="A38" s="83" t="s">
        <v>1988</v>
      </c>
      <c r="B38" s="88">
        <v>15</v>
      </c>
      <c r="C38" s="110">
        <v>0.0052181888099163435</v>
      </c>
      <c r="D38" s="88" t="s">
        <v>2714</v>
      </c>
      <c r="E38" s="88" t="b">
        <v>0</v>
      </c>
      <c r="F38" s="88" t="b">
        <v>0</v>
      </c>
      <c r="G38" s="88" t="b">
        <v>0</v>
      </c>
    </row>
    <row r="39" spans="1:7" ht="15">
      <c r="A39" s="83" t="s">
        <v>1993</v>
      </c>
      <c r="B39" s="88">
        <v>14</v>
      </c>
      <c r="C39" s="110">
        <v>0.004455750633874937</v>
      </c>
      <c r="D39" s="88" t="s">
        <v>2714</v>
      </c>
      <c r="E39" s="88" t="b">
        <v>0</v>
      </c>
      <c r="F39" s="88" t="b">
        <v>0</v>
      </c>
      <c r="G39" s="88" t="b">
        <v>0</v>
      </c>
    </row>
    <row r="40" spans="1:7" ht="15">
      <c r="A40" s="83" t="s">
        <v>1980</v>
      </c>
      <c r="B40" s="88">
        <v>14</v>
      </c>
      <c r="C40" s="110">
        <v>0.004455750633874937</v>
      </c>
      <c r="D40" s="88" t="s">
        <v>2714</v>
      </c>
      <c r="E40" s="88" t="b">
        <v>0</v>
      </c>
      <c r="F40" s="88" t="b">
        <v>0</v>
      </c>
      <c r="G40" s="88" t="b">
        <v>0</v>
      </c>
    </row>
    <row r="41" spans="1:7" ht="15">
      <c r="A41" s="83" t="s">
        <v>2433</v>
      </c>
      <c r="B41" s="88">
        <v>12</v>
      </c>
      <c r="C41" s="110">
        <v>0.0043149842460949925</v>
      </c>
      <c r="D41" s="88" t="s">
        <v>2714</v>
      </c>
      <c r="E41" s="88" t="b">
        <v>0</v>
      </c>
      <c r="F41" s="88" t="b">
        <v>0</v>
      </c>
      <c r="G41" s="88" t="b">
        <v>0</v>
      </c>
    </row>
    <row r="42" spans="1:7" ht="15">
      <c r="A42" s="83" t="s">
        <v>2434</v>
      </c>
      <c r="B42" s="88">
        <v>12</v>
      </c>
      <c r="C42" s="110">
        <v>0.004643771397945905</v>
      </c>
      <c r="D42" s="88" t="s">
        <v>2714</v>
      </c>
      <c r="E42" s="88" t="b">
        <v>0</v>
      </c>
      <c r="F42" s="88" t="b">
        <v>0</v>
      </c>
      <c r="G42" s="88" t="b">
        <v>0</v>
      </c>
    </row>
    <row r="43" spans="1:7" ht="15">
      <c r="A43" s="83" t="s">
        <v>2003</v>
      </c>
      <c r="B43" s="88">
        <v>12</v>
      </c>
      <c r="C43" s="110">
        <v>0.0043149842460949925</v>
      </c>
      <c r="D43" s="88" t="s">
        <v>2714</v>
      </c>
      <c r="E43" s="88" t="b">
        <v>0</v>
      </c>
      <c r="F43" s="88" t="b">
        <v>0</v>
      </c>
      <c r="G43" s="88" t="b">
        <v>0</v>
      </c>
    </row>
    <row r="44" spans="1:7" ht="15">
      <c r="A44" s="83" t="s">
        <v>1976</v>
      </c>
      <c r="B44" s="88">
        <v>12</v>
      </c>
      <c r="C44" s="110">
        <v>0.004046345582659454</v>
      </c>
      <c r="D44" s="88" t="s">
        <v>2714</v>
      </c>
      <c r="E44" s="88" t="b">
        <v>0</v>
      </c>
      <c r="F44" s="88" t="b">
        <v>0</v>
      </c>
      <c r="G44" s="88" t="b">
        <v>0</v>
      </c>
    </row>
    <row r="45" spans="1:7" ht="15">
      <c r="A45" s="83" t="s">
        <v>1977</v>
      </c>
      <c r="B45" s="88">
        <v>12</v>
      </c>
      <c r="C45" s="110">
        <v>0.004046345582659454</v>
      </c>
      <c r="D45" s="88" t="s">
        <v>2714</v>
      </c>
      <c r="E45" s="88" t="b">
        <v>0</v>
      </c>
      <c r="F45" s="88" t="b">
        <v>0</v>
      </c>
      <c r="G45" s="88" t="b">
        <v>0</v>
      </c>
    </row>
    <row r="46" spans="1:7" ht="15">
      <c r="A46" s="83" t="s">
        <v>1992</v>
      </c>
      <c r="B46" s="88">
        <v>11</v>
      </c>
      <c r="C46" s="110">
        <v>0.003826671793938652</v>
      </c>
      <c r="D46" s="88" t="s">
        <v>2714</v>
      </c>
      <c r="E46" s="88" t="b">
        <v>0</v>
      </c>
      <c r="F46" s="88" t="b">
        <v>0</v>
      </c>
      <c r="G46" s="88" t="b">
        <v>0</v>
      </c>
    </row>
    <row r="47" spans="1:7" ht="15">
      <c r="A47" s="83" t="s">
        <v>2028</v>
      </c>
      <c r="B47" s="88">
        <v>11</v>
      </c>
      <c r="C47" s="110">
        <v>0.003826671793938652</v>
      </c>
      <c r="D47" s="88" t="s">
        <v>2714</v>
      </c>
      <c r="E47" s="88" t="b">
        <v>0</v>
      </c>
      <c r="F47" s="88" t="b">
        <v>0</v>
      </c>
      <c r="G47" s="88" t="b">
        <v>0</v>
      </c>
    </row>
    <row r="48" spans="1:7" ht="15">
      <c r="A48" s="83" t="s">
        <v>1981</v>
      </c>
      <c r="B48" s="88">
        <v>11</v>
      </c>
      <c r="C48" s="110">
        <v>0.003826671793938652</v>
      </c>
      <c r="D48" s="88" t="s">
        <v>2714</v>
      </c>
      <c r="E48" s="88" t="b">
        <v>0</v>
      </c>
      <c r="F48" s="88" t="b">
        <v>0</v>
      </c>
      <c r="G48" s="88" t="b">
        <v>0</v>
      </c>
    </row>
    <row r="49" spans="1:7" ht="15">
      <c r="A49" s="83" t="s">
        <v>1982</v>
      </c>
      <c r="B49" s="88">
        <v>11</v>
      </c>
      <c r="C49" s="110">
        <v>0.003826671793938652</v>
      </c>
      <c r="D49" s="88" t="s">
        <v>2714</v>
      </c>
      <c r="E49" s="88" t="b">
        <v>0</v>
      </c>
      <c r="F49" s="88" t="b">
        <v>0</v>
      </c>
      <c r="G49" s="88" t="b">
        <v>0</v>
      </c>
    </row>
    <row r="50" spans="1:7" ht="15">
      <c r="A50" s="83" t="s">
        <v>390</v>
      </c>
      <c r="B50" s="88">
        <v>10</v>
      </c>
      <c r="C50" s="110">
        <v>0.0035958202050791607</v>
      </c>
      <c r="D50" s="88" t="s">
        <v>2714</v>
      </c>
      <c r="E50" s="88" t="b">
        <v>0</v>
      </c>
      <c r="F50" s="88" t="b">
        <v>0</v>
      </c>
      <c r="G50" s="88" t="b">
        <v>0</v>
      </c>
    </row>
    <row r="51" spans="1:7" ht="15">
      <c r="A51" s="83" t="s">
        <v>2435</v>
      </c>
      <c r="B51" s="88">
        <v>10</v>
      </c>
      <c r="C51" s="110">
        <v>0.0035958202050791607</v>
      </c>
      <c r="D51" s="88" t="s">
        <v>2714</v>
      </c>
      <c r="E51" s="88" t="b">
        <v>0</v>
      </c>
      <c r="F51" s="88" t="b">
        <v>0</v>
      </c>
      <c r="G51" s="88" t="b">
        <v>0</v>
      </c>
    </row>
    <row r="52" spans="1:7" ht="15">
      <c r="A52" s="83" t="s">
        <v>332</v>
      </c>
      <c r="B52" s="88">
        <v>9</v>
      </c>
      <c r="C52" s="110">
        <v>0.0033526694582625294</v>
      </c>
      <c r="D52" s="88" t="s">
        <v>2714</v>
      </c>
      <c r="E52" s="88" t="b">
        <v>0</v>
      </c>
      <c r="F52" s="88" t="b">
        <v>0</v>
      </c>
      <c r="G52" s="88" t="b">
        <v>0</v>
      </c>
    </row>
    <row r="53" spans="1:7" ht="15">
      <c r="A53" s="83" t="s">
        <v>361</v>
      </c>
      <c r="B53" s="88">
        <v>8</v>
      </c>
      <c r="C53" s="110">
        <v>0.003095847598630603</v>
      </c>
      <c r="D53" s="88" t="s">
        <v>2714</v>
      </c>
      <c r="E53" s="88" t="b">
        <v>0</v>
      </c>
      <c r="F53" s="88" t="b">
        <v>0</v>
      </c>
      <c r="G53" s="88" t="b">
        <v>0</v>
      </c>
    </row>
    <row r="54" spans="1:7" ht="15">
      <c r="A54" s="83" t="s">
        <v>2436</v>
      </c>
      <c r="B54" s="88">
        <v>8</v>
      </c>
      <c r="C54" s="110">
        <v>0.003095847598630603</v>
      </c>
      <c r="D54" s="88" t="s">
        <v>2714</v>
      </c>
      <c r="E54" s="88" t="b">
        <v>0</v>
      </c>
      <c r="F54" s="88" t="b">
        <v>0</v>
      </c>
      <c r="G54" s="88" t="b">
        <v>0</v>
      </c>
    </row>
    <row r="55" spans="1:7" ht="15">
      <c r="A55" s="83" t="s">
        <v>2437</v>
      </c>
      <c r="B55" s="88">
        <v>8</v>
      </c>
      <c r="C55" s="110">
        <v>0.0032270140040084635</v>
      </c>
      <c r="D55" s="88" t="s">
        <v>2714</v>
      </c>
      <c r="E55" s="88" t="b">
        <v>0</v>
      </c>
      <c r="F55" s="88" t="b">
        <v>0</v>
      </c>
      <c r="G55" s="88" t="b">
        <v>0</v>
      </c>
    </row>
    <row r="56" spans="1:7" ht="15">
      <c r="A56" s="83" t="s">
        <v>2029</v>
      </c>
      <c r="B56" s="88">
        <v>8</v>
      </c>
      <c r="C56" s="110">
        <v>0.003095847598630603</v>
      </c>
      <c r="D56" s="88" t="s">
        <v>2714</v>
      </c>
      <c r="E56" s="88" t="b">
        <v>0</v>
      </c>
      <c r="F56" s="88" t="b">
        <v>0</v>
      </c>
      <c r="G56" s="88" t="b">
        <v>0</v>
      </c>
    </row>
    <row r="57" spans="1:7" ht="15">
      <c r="A57" s="83" t="s">
        <v>2026</v>
      </c>
      <c r="B57" s="88">
        <v>8</v>
      </c>
      <c r="C57" s="110">
        <v>0.003095847598630603</v>
      </c>
      <c r="D57" s="88" t="s">
        <v>2714</v>
      </c>
      <c r="E57" s="88" t="b">
        <v>0</v>
      </c>
      <c r="F57" s="88" t="b">
        <v>0</v>
      </c>
      <c r="G57" s="88" t="b">
        <v>0</v>
      </c>
    </row>
    <row r="58" spans="1:7" ht="15">
      <c r="A58" s="83" t="s">
        <v>1985</v>
      </c>
      <c r="B58" s="88">
        <v>8</v>
      </c>
      <c r="C58" s="110">
        <v>0.0035575269487146846</v>
      </c>
      <c r="D58" s="88" t="s">
        <v>2714</v>
      </c>
      <c r="E58" s="88" t="b">
        <v>0</v>
      </c>
      <c r="F58" s="88" t="b">
        <v>0</v>
      </c>
      <c r="G58" s="88" t="b">
        <v>0</v>
      </c>
    </row>
    <row r="59" spans="1:7" ht="15">
      <c r="A59" s="83" t="s">
        <v>2438</v>
      </c>
      <c r="B59" s="88">
        <v>8</v>
      </c>
      <c r="C59" s="110">
        <v>0.003095847598630603</v>
      </c>
      <c r="D59" s="88" t="s">
        <v>2714</v>
      </c>
      <c r="E59" s="88" t="b">
        <v>0</v>
      </c>
      <c r="F59" s="88" t="b">
        <v>0</v>
      </c>
      <c r="G59" s="88" t="b">
        <v>0</v>
      </c>
    </row>
    <row r="60" spans="1:7" ht="15">
      <c r="A60" s="83" t="s">
        <v>1990</v>
      </c>
      <c r="B60" s="88">
        <v>7</v>
      </c>
      <c r="C60" s="110">
        <v>0.002823637253507406</v>
      </c>
      <c r="D60" s="88" t="s">
        <v>2714</v>
      </c>
      <c r="E60" s="88" t="b">
        <v>0</v>
      </c>
      <c r="F60" s="88" t="b">
        <v>0</v>
      </c>
      <c r="G60" s="88" t="b">
        <v>0</v>
      </c>
    </row>
    <row r="61" spans="1:7" ht="15">
      <c r="A61" s="83" t="s">
        <v>1994</v>
      </c>
      <c r="B61" s="88">
        <v>7</v>
      </c>
      <c r="C61" s="110">
        <v>0.002823637253507406</v>
      </c>
      <c r="D61" s="88" t="s">
        <v>2714</v>
      </c>
      <c r="E61" s="88" t="b">
        <v>0</v>
      </c>
      <c r="F61" s="88" t="b">
        <v>0</v>
      </c>
      <c r="G61" s="88" t="b">
        <v>0</v>
      </c>
    </row>
    <row r="62" spans="1:7" ht="15">
      <c r="A62" s="83" t="s">
        <v>1995</v>
      </c>
      <c r="B62" s="88">
        <v>7</v>
      </c>
      <c r="C62" s="110">
        <v>0.002823637253507406</v>
      </c>
      <c r="D62" s="88" t="s">
        <v>2714</v>
      </c>
      <c r="E62" s="88" t="b">
        <v>1</v>
      </c>
      <c r="F62" s="88" t="b">
        <v>0</v>
      </c>
      <c r="G62" s="88" t="b">
        <v>0</v>
      </c>
    </row>
    <row r="63" spans="1:7" ht="15">
      <c r="A63" s="83" t="s">
        <v>2439</v>
      </c>
      <c r="B63" s="88">
        <v>7</v>
      </c>
      <c r="C63" s="110">
        <v>0.002823637253507406</v>
      </c>
      <c r="D63" s="88" t="s">
        <v>2714</v>
      </c>
      <c r="E63" s="88" t="b">
        <v>0</v>
      </c>
      <c r="F63" s="88" t="b">
        <v>0</v>
      </c>
      <c r="G63" s="88" t="b">
        <v>0</v>
      </c>
    </row>
    <row r="64" spans="1:7" ht="15">
      <c r="A64" s="83" t="s">
        <v>2440</v>
      </c>
      <c r="B64" s="88">
        <v>7</v>
      </c>
      <c r="C64" s="110">
        <v>0.002823637253507406</v>
      </c>
      <c r="D64" s="88" t="s">
        <v>2714</v>
      </c>
      <c r="E64" s="88" t="b">
        <v>0</v>
      </c>
      <c r="F64" s="88" t="b">
        <v>0</v>
      </c>
      <c r="G64" s="88" t="b">
        <v>0</v>
      </c>
    </row>
    <row r="65" spans="1:7" ht="15">
      <c r="A65" s="83" t="s">
        <v>2027</v>
      </c>
      <c r="B65" s="88">
        <v>7</v>
      </c>
      <c r="C65" s="110">
        <v>0.002823637253507406</v>
      </c>
      <c r="D65" s="88" t="s">
        <v>2714</v>
      </c>
      <c r="E65" s="88" t="b">
        <v>0</v>
      </c>
      <c r="F65" s="88" t="b">
        <v>0</v>
      </c>
      <c r="G65" s="88" t="b">
        <v>0</v>
      </c>
    </row>
    <row r="66" spans="1:7" ht="15">
      <c r="A66" s="83" t="s">
        <v>2441</v>
      </c>
      <c r="B66" s="88">
        <v>7</v>
      </c>
      <c r="C66" s="110">
        <v>0.002823637253507406</v>
      </c>
      <c r="D66" s="88" t="s">
        <v>2714</v>
      </c>
      <c r="E66" s="88" t="b">
        <v>0</v>
      </c>
      <c r="F66" s="88" t="b">
        <v>0</v>
      </c>
      <c r="G66" s="88" t="b">
        <v>0</v>
      </c>
    </row>
    <row r="67" spans="1:7" ht="15">
      <c r="A67" s="83" t="s">
        <v>2442</v>
      </c>
      <c r="B67" s="88">
        <v>7</v>
      </c>
      <c r="C67" s="110">
        <v>0.002823637253507406</v>
      </c>
      <c r="D67" s="88" t="s">
        <v>2714</v>
      </c>
      <c r="E67" s="88" t="b">
        <v>0</v>
      </c>
      <c r="F67" s="88" t="b">
        <v>0</v>
      </c>
      <c r="G67" s="88" t="b">
        <v>0</v>
      </c>
    </row>
    <row r="68" spans="1:7" ht="15">
      <c r="A68" s="83" t="s">
        <v>2443</v>
      </c>
      <c r="B68" s="88">
        <v>7</v>
      </c>
      <c r="C68" s="110">
        <v>0.002823637253507406</v>
      </c>
      <c r="D68" s="88" t="s">
        <v>2714</v>
      </c>
      <c r="E68" s="88" t="b">
        <v>0</v>
      </c>
      <c r="F68" s="88" t="b">
        <v>0</v>
      </c>
      <c r="G68" s="88" t="b">
        <v>0</v>
      </c>
    </row>
    <row r="69" spans="1:7" ht="15">
      <c r="A69" s="83" t="s">
        <v>2444</v>
      </c>
      <c r="B69" s="88">
        <v>7</v>
      </c>
      <c r="C69" s="110">
        <v>0.002823637253507406</v>
      </c>
      <c r="D69" s="88" t="s">
        <v>2714</v>
      </c>
      <c r="E69" s="88" t="b">
        <v>0</v>
      </c>
      <c r="F69" s="88" t="b">
        <v>0</v>
      </c>
      <c r="G69" s="88" t="b">
        <v>0</v>
      </c>
    </row>
    <row r="70" spans="1:7" ht="15">
      <c r="A70" s="83" t="s">
        <v>1986</v>
      </c>
      <c r="B70" s="88">
        <v>7</v>
      </c>
      <c r="C70" s="110">
        <v>0.002823637253507406</v>
      </c>
      <c r="D70" s="88" t="s">
        <v>2714</v>
      </c>
      <c r="E70" s="88" t="b">
        <v>0</v>
      </c>
      <c r="F70" s="88" t="b">
        <v>0</v>
      </c>
      <c r="G70" s="88" t="b">
        <v>0</v>
      </c>
    </row>
    <row r="71" spans="1:7" ht="15">
      <c r="A71" s="83" t="s">
        <v>2445</v>
      </c>
      <c r="B71" s="88">
        <v>6</v>
      </c>
      <c r="C71" s="110">
        <v>0.0025338258798182447</v>
      </c>
      <c r="D71" s="88" t="s">
        <v>2714</v>
      </c>
      <c r="E71" s="88" t="b">
        <v>0</v>
      </c>
      <c r="F71" s="88" t="b">
        <v>0</v>
      </c>
      <c r="G71" s="88" t="b">
        <v>0</v>
      </c>
    </row>
    <row r="72" spans="1:7" ht="15">
      <c r="A72" s="83" t="s">
        <v>1941</v>
      </c>
      <c r="B72" s="88">
        <v>6</v>
      </c>
      <c r="C72" s="110">
        <v>0.0025338258798182447</v>
      </c>
      <c r="D72" s="88" t="s">
        <v>2714</v>
      </c>
      <c r="E72" s="88" t="b">
        <v>0</v>
      </c>
      <c r="F72" s="88" t="b">
        <v>0</v>
      </c>
      <c r="G72" s="88" t="b">
        <v>0</v>
      </c>
    </row>
    <row r="73" spans="1:7" ht="15">
      <c r="A73" s="83" t="s">
        <v>2011</v>
      </c>
      <c r="B73" s="88">
        <v>6</v>
      </c>
      <c r="C73" s="110">
        <v>0.0025338258798182447</v>
      </c>
      <c r="D73" s="88" t="s">
        <v>2714</v>
      </c>
      <c r="E73" s="88" t="b">
        <v>0</v>
      </c>
      <c r="F73" s="88" t="b">
        <v>0</v>
      </c>
      <c r="G73" s="88" t="b">
        <v>0</v>
      </c>
    </row>
    <row r="74" spans="1:7" ht="15">
      <c r="A74" s="83" t="s">
        <v>2013</v>
      </c>
      <c r="B74" s="88">
        <v>6</v>
      </c>
      <c r="C74" s="110">
        <v>0.0025338258798182447</v>
      </c>
      <c r="D74" s="88" t="s">
        <v>2714</v>
      </c>
      <c r="E74" s="88" t="b">
        <v>0</v>
      </c>
      <c r="F74" s="88" t="b">
        <v>0</v>
      </c>
      <c r="G74" s="88" t="b">
        <v>0</v>
      </c>
    </row>
    <row r="75" spans="1:7" ht="15">
      <c r="A75" s="83" t="s">
        <v>2014</v>
      </c>
      <c r="B75" s="88">
        <v>6</v>
      </c>
      <c r="C75" s="110">
        <v>0.0025338258798182447</v>
      </c>
      <c r="D75" s="88" t="s">
        <v>2714</v>
      </c>
      <c r="E75" s="88" t="b">
        <v>0</v>
      </c>
      <c r="F75" s="88" t="b">
        <v>0</v>
      </c>
      <c r="G75" s="88" t="b">
        <v>0</v>
      </c>
    </row>
    <row r="76" spans="1:7" ht="15">
      <c r="A76" s="83" t="s">
        <v>2015</v>
      </c>
      <c r="B76" s="88">
        <v>6</v>
      </c>
      <c r="C76" s="110">
        <v>0.0025338258798182447</v>
      </c>
      <c r="D76" s="88" t="s">
        <v>2714</v>
      </c>
      <c r="E76" s="88" t="b">
        <v>0</v>
      </c>
      <c r="F76" s="88" t="b">
        <v>0</v>
      </c>
      <c r="G76" s="88" t="b">
        <v>0</v>
      </c>
    </row>
    <row r="77" spans="1:7" ht="15">
      <c r="A77" s="83" t="s">
        <v>2446</v>
      </c>
      <c r="B77" s="88">
        <v>6</v>
      </c>
      <c r="C77" s="110">
        <v>0.0025338258798182447</v>
      </c>
      <c r="D77" s="88" t="s">
        <v>2714</v>
      </c>
      <c r="E77" s="88" t="b">
        <v>0</v>
      </c>
      <c r="F77" s="88" t="b">
        <v>0</v>
      </c>
      <c r="G77" s="88" t="b">
        <v>0</v>
      </c>
    </row>
    <row r="78" spans="1:7" ht="15">
      <c r="A78" s="83" t="s">
        <v>2447</v>
      </c>
      <c r="B78" s="88">
        <v>6</v>
      </c>
      <c r="C78" s="110">
        <v>0.0025338258798182447</v>
      </c>
      <c r="D78" s="88" t="s">
        <v>2714</v>
      </c>
      <c r="E78" s="88" t="b">
        <v>0</v>
      </c>
      <c r="F78" s="88" t="b">
        <v>0</v>
      </c>
      <c r="G78" s="88" t="b">
        <v>0</v>
      </c>
    </row>
    <row r="79" spans="1:7" ht="15">
      <c r="A79" s="83" t="s">
        <v>2448</v>
      </c>
      <c r="B79" s="88">
        <v>6</v>
      </c>
      <c r="C79" s="110">
        <v>0.0025338258798182447</v>
      </c>
      <c r="D79" s="88" t="s">
        <v>2714</v>
      </c>
      <c r="E79" s="88" t="b">
        <v>0</v>
      </c>
      <c r="F79" s="88" t="b">
        <v>0</v>
      </c>
      <c r="G79" s="88" t="b">
        <v>0</v>
      </c>
    </row>
    <row r="80" spans="1:7" ht="15">
      <c r="A80" s="83" t="s">
        <v>2449</v>
      </c>
      <c r="B80" s="88">
        <v>6</v>
      </c>
      <c r="C80" s="110">
        <v>0.0025338258798182447</v>
      </c>
      <c r="D80" s="88" t="s">
        <v>2714</v>
      </c>
      <c r="E80" s="88" t="b">
        <v>0</v>
      </c>
      <c r="F80" s="88" t="b">
        <v>0</v>
      </c>
      <c r="G80" s="88" t="b">
        <v>0</v>
      </c>
    </row>
    <row r="81" spans="1:7" ht="15">
      <c r="A81" s="83" t="s">
        <v>2450</v>
      </c>
      <c r="B81" s="88">
        <v>6</v>
      </c>
      <c r="C81" s="110">
        <v>0.0025338258798182447</v>
      </c>
      <c r="D81" s="88" t="s">
        <v>2714</v>
      </c>
      <c r="E81" s="88" t="b">
        <v>0</v>
      </c>
      <c r="F81" s="88" t="b">
        <v>0</v>
      </c>
      <c r="G81" s="88" t="b">
        <v>0</v>
      </c>
    </row>
    <row r="82" spans="1:7" ht="15">
      <c r="A82" s="83" t="s">
        <v>2451</v>
      </c>
      <c r="B82" s="88">
        <v>6</v>
      </c>
      <c r="C82" s="110">
        <v>0.0025338258798182447</v>
      </c>
      <c r="D82" s="88" t="s">
        <v>2714</v>
      </c>
      <c r="E82" s="88" t="b">
        <v>0</v>
      </c>
      <c r="F82" s="88" t="b">
        <v>0</v>
      </c>
      <c r="G82" s="88" t="b">
        <v>0</v>
      </c>
    </row>
    <row r="83" spans="1:7" ht="15">
      <c r="A83" s="83" t="s">
        <v>2452</v>
      </c>
      <c r="B83" s="88">
        <v>6</v>
      </c>
      <c r="C83" s="110">
        <v>0.0025338258798182447</v>
      </c>
      <c r="D83" s="88" t="s">
        <v>2714</v>
      </c>
      <c r="E83" s="88" t="b">
        <v>0</v>
      </c>
      <c r="F83" s="88" t="b">
        <v>0</v>
      </c>
      <c r="G83" s="88" t="b">
        <v>0</v>
      </c>
    </row>
    <row r="84" spans="1:7" ht="15">
      <c r="A84" s="83" t="s">
        <v>2453</v>
      </c>
      <c r="B84" s="88">
        <v>6</v>
      </c>
      <c r="C84" s="110">
        <v>0.0025338258798182447</v>
      </c>
      <c r="D84" s="88" t="s">
        <v>2714</v>
      </c>
      <c r="E84" s="88" t="b">
        <v>0</v>
      </c>
      <c r="F84" s="88" t="b">
        <v>0</v>
      </c>
      <c r="G84" s="88" t="b">
        <v>0</v>
      </c>
    </row>
    <row r="85" spans="1:7" ht="15">
      <c r="A85" s="83" t="s">
        <v>2454</v>
      </c>
      <c r="B85" s="88">
        <v>6</v>
      </c>
      <c r="C85" s="110">
        <v>0.0025338258798182447</v>
      </c>
      <c r="D85" s="88" t="s">
        <v>2714</v>
      </c>
      <c r="E85" s="88" t="b">
        <v>0</v>
      </c>
      <c r="F85" s="88" t="b">
        <v>0</v>
      </c>
      <c r="G85" s="88" t="b">
        <v>0</v>
      </c>
    </row>
    <row r="86" spans="1:7" ht="15">
      <c r="A86" s="83" t="s">
        <v>2455</v>
      </c>
      <c r="B86" s="88">
        <v>6</v>
      </c>
      <c r="C86" s="110">
        <v>0.0025338258798182447</v>
      </c>
      <c r="D86" s="88" t="s">
        <v>2714</v>
      </c>
      <c r="E86" s="88" t="b">
        <v>0</v>
      </c>
      <c r="F86" s="88" t="b">
        <v>0</v>
      </c>
      <c r="G86" s="88" t="b">
        <v>0</v>
      </c>
    </row>
    <row r="87" spans="1:7" ht="15">
      <c r="A87" s="83" t="s">
        <v>2456</v>
      </c>
      <c r="B87" s="88">
        <v>5</v>
      </c>
      <c r="C87" s="110">
        <v>0.002223454342946678</v>
      </c>
      <c r="D87" s="88" t="s">
        <v>2714</v>
      </c>
      <c r="E87" s="88" t="b">
        <v>0</v>
      </c>
      <c r="F87" s="88" t="b">
        <v>0</v>
      </c>
      <c r="G87" s="88" t="b">
        <v>0</v>
      </c>
    </row>
    <row r="88" spans="1:7" ht="15">
      <c r="A88" s="83" t="s">
        <v>2017</v>
      </c>
      <c r="B88" s="88">
        <v>5</v>
      </c>
      <c r="C88" s="110">
        <v>0.002223454342946678</v>
      </c>
      <c r="D88" s="88" t="s">
        <v>2714</v>
      </c>
      <c r="E88" s="88" t="b">
        <v>0</v>
      </c>
      <c r="F88" s="88" t="b">
        <v>0</v>
      </c>
      <c r="G88" s="88" t="b">
        <v>0</v>
      </c>
    </row>
    <row r="89" spans="1:7" ht="15">
      <c r="A89" s="83" t="s">
        <v>2457</v>
      </c>
      <c r="B89" s="88">
        <v>5</v>
      </c>
      <c r="C89" s="110">
        <v>0.002223454342946678</v>
      </c>
      <c r="D89" s="88" t="s">
        <v>2714</v>
      </c>
      <c r="E89" s="88" t="b">
        <v>0</v>
      </c>
      <c r="F89" s="88" t="b">
        <v>0</v>
      </c>
      <c r="G89" s="88" t="b">
        <v>0</v>
      </c>
    </row>
    <row r="90" spans="1:7" ht="15">
      <c r="A90" s="83" t="s">
        <v>2021</v>
      </c>
      <c r="B90" s="88">
        <v>5</v>
      </c>
      <c r="C90" s="110">
        <v>0.002223454342946678</v>
      </c>
      <c r="D90" s="88" t="s">
        <v>2714</v>
      </c>
      <c r="E90" s="88" t="b">
        <v>0</v>
      </c>
      <c r="F90" s="88" t="b">
        <v>0</v>
      </c>
      <c r="G90" s="88" t="b">
        <v>0</v>
      </c>
    </row>
    <row r="91" spans="1:7" ht="15">
      <c r="A91" s="83" t="s">
        <v>2030</v>
      </c>
      <c r="B91" s="88">
        <v>5</v>
      </c>
      <c r="C91" s="110">
        <v>0.002223454342946678</v>
      </c>
      <c r="D91" s="88" t="s">
        <v>2714</v>
      </c>
      <c r="E91" s="88" t="b">
        <v>0</v>
      </c>
      <c r="F91" s="88" t="b">
        <v>0</v>
      </c>
      <c r="G91" s="88" t="b">
        <v>0</v>
      </c>
    </row>
    <row r="92" spans="1:7" ht="15">
      <c r="A92" s="83" t="s">
        <v>2031</v>
      </c>
      <c r="B92" s="88">
        <v>5</v>
      </c>
      <c r="C92" s="110">
        <v>0.002223454342946678</v>
      </c>
      <c r="D92" s="88" t="s">
        <v>2714</v>
      </c>
      <c r="E92" s="88" t="b">
        <v>0</v>
      </c>
      <c r="F92" s="88" t="b">
        <v>0</v>
      </c>
      <c r="G92" s="88" t="b">
        <v>0</v>
      </c>
    </row>
    <row r="93" spans="1:7" ht="15">
      <c r="A93" s="83" t="s">
        <v>2032</v>
      </c>
      <c r="B93" s="88">
        <v>5</v>
      </c>
      <c r="C93" s="110">
        <v>0.002223454342946678</v>
      </c>
      <c r="D93" s="88" t="s">
        <v>2714</v>
      </c>
      <c r="E93" s="88" t="b">
        <v>0</v>
      </c>
      <c r="F93" s="88" t="b">
        <v>0</v>
      </c>
      <c r="G93" s="88" t="b">
        <v>0</v>
      </c>
    </row>
    <row r="94" spans="1:7" ht="15">
      <c r="A94" s="83" t="s">
        <v>2458</v>
      </c>
      <c r="B94" s="88">
        <v>5</v>
      </c>
      <c r="C94" s="110">
        <v>0.002223454342946678</v>
      </c>
      <c r="D94" s="88" t="s">
        <v>2714</v>
      </c>
      <c r="E94" s="88" t="b">
        <v>0</v>
      </c>
      <c r="F94" s="88" t="b">
        <v>0</v>
      </c>
      <c r="G94" s="88" t="b">
        <v>0</v>
      </c>
    </row>
    <row r="95" spans="1:7" ht="15">
      <c r="A95" s="83" t="s">
        <v>2459</v>
      </c>
      <c r="B95" s="88">
        <v>5</v>
      </c>
      <c r="C95" s="110">
        <v>0.002223454342946678</v>
      </c>
      <c r="D95" s="88" t="s">
        <v>2714</v>
      </c>
      <c r="E95" s="88" t="b">
        <v>0</v>
      </c>
      <c r="F95" s="88" t="b">
        <v>0</v>
      </c>
      <c r="G95" s="88" t="b">
        <v>0</v>
      </c>
    </row>
    <row r="96" spans="1:7" ht="15">
      <c r="A96" s="83" t="s">
        <v>2460</v>
      </c>
      <c r="B96" s="88">
        <v>5</v>
      </c>
      <c r="C96" s="110">
        <v>0.002223454342946678</v>
      </c>
      <c r="D96" s="88" t="s">
        <v>2714</v>
      </c>
      <c r="E96" s="88" t="b">
        <v>0</v>
      </c>
      <c r="F96" s="88" t="b">
        <v>0</v>
      </c>
      <c r="G96" s="88" t="b">
        <v>0</v>
      </c>
    </row>
    <row r="97" spans="1:7" ht="15">
      <c r="A97" s="83" t="s">
        <v>365</v>
      </c>
      <c r="B97" s="88">
        <v>5</v>
      </c>
      <c r="C97" s="110">
        <v>0.002223454342946678</v>
      </c>
      <c r="D97" s="88" t="s">
        <v>2714</v>
      </c>
      <c r="E97" s="88" t="b">
        <v>0</v>
      </c>
      <c r="F97" s="88" t="b">
        <v>0</v>
      </c>
      <c r="G97" s="88" t="b">
        <v>0</v>
      </c>
    </row>
    <row r="98" spans="1:7" ht="15">
      <c r="A98" s="83" t="s">
        <v>2461</v>
      </c>
      <c r="B98" s="88">
        <v>5</v>
      </c>
      <c r="C98" s="110">
        <v>0.002223454342946678</v>
      </c>
      <c r="D98" s="88" t="s">
        <v>2714</v>
      </c>
      <c r="E98" s="88" t="b">
        <v>0</v>
      </c>
      <c r="F98" s="88" t="b">
        <v>0</v>
      </c>
      <c r="G98" s="88" t="b">
        <v>0</v>
      </c>
    </row>
    <row r="99" spans="1:7" ht="15">
      <c r="A99" s="83" t="s">
        <v>2462</v>
      </c>
      <c r="B99" s="88">
        <v>5</v>
      </c>
      <c r="C99" s="110">
        <v>0.002223454342946678</v>
      </c>
      <c r="D99" s="88" t="s">
        <v>2714</v>
      </c>
      <c r="E99" s="88" t="b">
        <v>0</v>
      </c>
      <c r="F99" s="88" t="b">
        <v>0</v>
      </c>
      <c r="G99" s="88" t="b">
        <v>0</v>
      </c>
    </row>
    <row r="100" spans="1:7" ht="15">
      <c r="A100" s="83" t="s">
        <v>2463</v>
      </c>
      <c r="B100" s="88">
        <v>5</v>
      </c>
      <c r="C100" s="110">
        <v>0.002223454342946678</v>
      </c>
      <c r="D100" s="88" t="s">
        <v>2714</v>
      </c>
      <c r="E100" s="88" t="b">
        <v>0</v>
      </c>
      <c r="F100" s="88" t="b">
        <v>0</v>
      </c>
      <c r="G100" s="88" t="b">
        <v>0</v>
      </c>
    </row>
    <row r="101" spans="1:7" ht="15">
      <c r="A101" s="83" t="s">
        <v>2464</v>
      </c>
      <c r="B101" s="88">
        <v>5</v>
      </c>
      <c r="C101" s="110">
        <v>0.002223454342946678</v>
      </c>
      <c r="D101" s="88" t="s">
        <v>2714</v>
      </c>
      <c r="E101" s="88" t="b">
        <v>0</v>
      </c>
      <c r="F101" s="88" t="b">
        <v>0</v>
      </c>
      <c r="G101" s="88" t="b">
        <v>0</v>
      </c>
    </row>
    <row r="102" spans="1:7" ht="15">
      <c r="A102" s="83" t="s">
        <v>2465</v>
      </c>
      <c r="B102" s="88">
        <v>5</v>
      </c>
      <c r="C102" s="110">
        <v>0.002223454342946678</v>
      </c>
      <c r="D102" s="88" t="s">
        <v>2714</v>
      </c>
      <c r="E102" s="88" t="b">
        <v>0</v>
      </c>
      <c r="F102" s="88" t="b">
        <v>0</v>
      </c>
      <c r="G102" s="88" t="b">
        <v>0</v>
      </c>
    </row>
    <row r="103" spans="1:7" ht="15">
      <c r="A103" s="83" t="s">
        <v>2466</v>
      </c>
      <c r="B103" s="88">
        <v>5</v>
      </c>
      <c r="C103" s="110">
        <v>0.002223454342946678</v>
      </c>
      <c r="D103" s="88" t="s">
        <v>2714</v>
      </c>
      <c r="E103" s="88" t="b">
        <v>0</v>
      </c>
      <c r="F103" s="88" t="b">
        <v>0</v>
      </c>
      <c r="G103" s="88" t="b">
        <v>0</v>
      </c>
    </row>
    <row r="104" spans="1:7" ht="15">
      <c r="A104" s="83" t="s">
        <v>2467</v>
      </c>
      <c r="B104" s="88">
        <v>5</v>
      </c>
      <c r="C104" s="110">
        <v>0.002223454342946678</v>
      </c>
      <c r="D104" s="88" t="s">
        <v>2714</v>
      </c>
      <c r="E104" s="88" t="b">
        <v>1</v>
      </c>
      <c r="F104" s="88" t="b">
        <v>0</v>
      </c>
      <c r="G104" s="88" t="b">
        <v>0</v>
      </c>
    </row>
    <row r="105" spans="1:7" ht="15">
      <c r="A105" s="83" t="s">
        <v>2468</v>
      </c>
      <c r="B105" s="88">
        <v>5</v>
      </c>
      <c r="C105" s="110">
        <v>0.002223454342946678</v>
      </c>
      <c r="D105" s="88" t="s">
        <v>2714</v>
      </c>
      <c r="E105" s="88" t="b">
        <v>0</v>
      </c>
      <c r="F105" s="88" t="b">
        <v>0</v>
      </c>
      <c r="G105" s="88" t="b">
        <v>0</v>
      </c>
    </row>
    <row r="106" spans="1:7" ht="15">
      <c r="A106" s="83" t="s">
        <v>2469</v>
      </c>
      <c r="B106" s="88">
        <v>5</v>
      </c>
      <c r="C106" s="110">
        <v>0.002223454342946678</v>
      </c>
      <c r="D106" s="88" t="s">
        <v>2714</v>
      </c>
      <c r="E106" s="88" t="b">
        <v>0</v>
      </c>
      <c r="F106" s="88" t="b">
        <v>0</v>
      </c>
      <c r="G106" s="88" t="b">
        <v>0</v>
      </c>
    </row>
    <row r="107" spans="1:7" ht="15">
      <c r="A107" s="83" t="s">
        <v>2470</v>
      </c>
      <c r="B107" s="88">
        <v>5</v>
      </c>
      <c r="C107" s="110">
        <v>0.002223454342946678</v>
      </c>
      <c r="D107" s="88" t="s">
        <v>2714</v>
      </c>
      <c r="E107" s="88" t="b">
        <v>0</v>
      </c>
      <c r="F107" s="88" t="b">
        <v>0</v>
      </c>
      <c r="G107" s="88" t="b">
        <v>0</v>
      </c>
    </row>
    <row r="108" spans="1:7" ht="15">
      <c r="A108" s="83" t="s">
        <v>1998</v>
      </c>
      <c r="B108" s="88">
        <v>5</v>
      </c>
      <c r="C108" s="110">
        <v>0.0025370658069223022</v>
      </c>
      <c r="D108" s="88" t="s">
        <v>2714</v>
      </c>
      <c r="E108" s="88" t="b">
        <v>0</v>
      </c>
      <c r="F108" s="88" t="b">
        <v>1</v>
      </c>
      <c r="G108" s="88" t="b">
        <v>0</v>
      </c>
    </row>
    <row r="109" spans="1:7" ht="15">
      <c r="A109" s="83" t="s">
        <v>2471</v>
      </c>
      <c r="B109" s="88">
        <v>4</v>
      </c>
      <c r="C109" s="110">
        <v>0.0018883591916409798</v>
      </c>
      <c r="D109" s="88" t="s">
        <v>2714</v>
      </c>
      <c r="E109" s="88" t="b">
        <v>0</v>
      </c>
      <c r="F109" s="88" t="b">
        <v>0</v>
      </c>
      <c r="G109" s="88" t="b">
        <v>0</v>
      </c>
    </row>
    <row r="110" spans="1:7" ht="15">
      <c r="A110" s="83" t="s">
        <v>2472</v>
      </c>
      <c r="B110" s="88">
        <v>4</v>
      </c>
      <c r="C110" s="110">
        <v>0.0018883591916409798</v>
      </c>
      <c r="D110" s="88" t="s">
        <v>2714</v>
      </c>
      <c r="E110" s="88" t="b">
        <v>0</v>
      </c>
      <c r="F110" s="88" t="b">
        <v>0</v>
      </c>
      <c r="G110" s="88" t="b">
        <v>0</v>
      </c>
    </row>
    <row r="111" spans="1:7" ht="15">
      <c r="A111" s="83" t="s">
        <v>2473</v>
      </c>
      <c r="B111" s="88">
        <v>4</v>
      </c>
      <c r="C111" s="110">
        <v>0.0020296526455378418</v>
      </c>
      <c r="D111" s="88" t="s">
        <v>2714</v>
      </c>
      <c r="E111" s="88" t="b">
        <v>0</v>
      </c>
      <c r="F111" s="88" t="b">
        <v>0</v>
      </c>
      <c r="G111" s="88" t="b">
        <v>0</v>
      </c>
    </row>
    <row r="112" spans="1:7" ht="15">
      <c r="A112" s="83" t="s">
        <v>258</v>
      </c>
      <c r="B112" s="88">
        <v>4</v>
      </c>
      <c r="C112" s="110">
        <v>0.0018883591916409798</v>
      </c>
      <c r="D112" s="88" t="s">
        <v>2714</v>
      </c>
      <c r="E112" s="88" t="b">
        <v>0</v>
      </c>
      <c r="F112" s="88" t="b">
        <v>0</v>
      </c>
      <c r="G112" s="88" t="b">
        <v>0</v>
      </c>
    </row>
    <row r="113" spans="1:7" ht="15">
      <c r="A113" s="83" t="s">
        <v>2474</v>
      </c>
      <c r="B113" s="88">
        <v>4</v>
      </c>
      <c r="C113" s="110">
        <v>0.0018883591916409798</v>
      </c>
      <c r="D113" s="88" t="s">
        <v>2714</v>
      </c>
      <c r="E113" s="88" t="b">
        <v>0</v>
      </c>
      <c r="F113" s="88" t="b">
        <v>0</v>
      </c>
      <c r="G113" s="88" t="b">
        <v>0</v>
      </c>
    </row>
    <row r="114" spans="1:7" ht="15">
      <c r="A114" s="83" t="s">
        <v>2475</v>
      </c>
      <c r="B114" s="88">
        <v>4</v>
      </c>
      <c r="C114" s="110">
        <v>0.0018883591916409798</v>
      </c>
      <c r="D114" s="88" t="s">
        <v>2714</v>
      </c>
      <c r="E114" s="88" t="b">
        <v>0</v>
      </c>
      <c r="F114" s="88" t="b">
        <v>0</v>
      </c>
      <c r="G114" s="88" t="b">
        <v>0</v>
      </c>
    </row>
    <row r="115" spans="1:7" ht="15">
      <c r="A115" s="83" t="s">
        <v>2476</v>
      </c>
      <c r="B115" s="88">
        <v>4</v>
      </c>
      <c r="C115" s="110">
        <v>0.0018883591916409798</v>
      </c>
      <c r="D115" s="88" t="s">
        <v>2714</v>
      </c>
      <c r="E115" s="88" t="b">
        <v>0</v>
      </c>
      <c r="F115" s="88" t="b">
        <v>0</v>
      </c>
      <c r="G115" s="88" t="b">
        <v>0</v>
      </c>
    </row>
    <row r="116" spans="1:7" ht="15">
      <c r="A116" s="83" t="s">
        <v>2477</v>
      </c>
      <c r="B116" s="88">
        <v>4</v>
      </c>
      <c r="C116" s="110">
        <v>0.0018883591916409798</v>
      </c>
      <c r="D116" s="88" t="s">
        <v>2714</v>
      </c>
      <c r="E116" s="88" t="b">
        <v>1</v>
      </c>
      <c r="F116" s="88" t="b">
        <v>0</v>
      </c>
      <c r="G116" s="88" t="b">
        <v>0</v>
      </c>
    </row>
    <row r="117" spans="1:7" ht="15">
      <c r="A117" s="83" t="s">
        <v>2478</v>
      </c>
      <c r="B117" s="88">
        <v>4</v>
      </c>
      <c r="C117" s="110">
        <v>0.0018883591916409798</v>
      </c>
      <c r="D117" s="88" t="s">
        <v>2714</v>
      </c>
      <c r="E117" s="88" t="b">
        <v>0</v>
      </c>
      <c r="F117" s="88" t="b">
        <v>0</v>
      </c>
      <c r="G117" s="88" t="b">
        <v>0</v>
      </c>
    </row>
    <row r="118" spans="1:7" ht="15">
      <c r="A118" s="83" t="s">
        <v>2479</v>
      </c>
      <c r="B118" s="88">
        <v>4</v>
      </c>
      <c r="C118" s="110">
        <v>0.0018883591916409798</v>
      </c>
      <c r="D118" s="88" t="s">
        <v>2714</v>
      </c>
      <c r="E118" s="88" t="b">
        <v>0</v>
      </c>
      <c r="F118" s="88" t="b">
        <v>0</v>
      </c>
      <c r="G118" s="88" t="b">
        <v>0</v>
      </c>
    </row>
    <row r="119" spans="1:7" ht="15">
      <c r="A119" s="83" t="s">
        <v>2480</v>
      </c>
      <c r="B119" s="88">
        <v>4</v>
      </c>
      <c r="C119" s="110">
        <v>0.0018883591916409798</v>
      </c>
      <c r="D119" s="88" t="s">
        <v>2714</v>
      </c>
      <c r="E119" s="88" t="b">
        <v>0</v>
      </c>
      <c r="F119" s="88" t="b">
        <v>0</v>
      </c>
      <c r="G119" s="88" t="b">
        <v>0</v>
      </c>
    </row>
    <row r="120" spans="1:7" ht="15">
      <c r="A120" s="83" t="s">
        <v>2481</v>
      </c>
      <c r="B120" s="88">
        <v>4</v>
      </c>
      <c r="C120" s="110">
        <v>0.0018883591916409798</v>
      </c>
      <c r="D120" s="88" t="s">
        <v>2714</v>
      </c>
      <c r="E120" s="88" t="b">
        <v>0</v>
      </c>
      <c r="F120" s="88" t="b">
        <v>0</v>
      </c>
      <c r="G120" s="88" t="b">
        <v>0</v>
      </c>
    </row>
    <row r="121" spans="1:7" ht="15">
      <c r="A121" s="83" t="s">
        <v>2482</v>
      </c>
      <c r="B121" s="88">
        <v>4</v>
      </c>
      <c r="C121" s="110">
        <v>0.0018883591916409798</v>
      </c>
      <c r="D121" s="88" t="s">
        <v>2714</v>
      </c>
      <c r="E121" s="88" t="b">
        <v>0</v>
      </c>
      <c r="F121" s="88" t="b">
        <v>0</v>
      </c>
      <c r="G121" s="88" t="b">
        <v>0</v>
      </c>
    </row>
    <row r="122" spans="1:7" ht="15">
      <c r="A122" s="83" t="s">
        <v>2483</v>
      </c>
      <c r="B122" s="88">
        <v>4</v>
      </c>
      <c r="C122" s="110">
        <v>0.0018883591916409798</v>
      </c>
      <c r="D122" s="88" t="s">
        <v>2714</v>
      </c>
      <c r="E122" s="88" t="b">
        <v>0</v>
      </c>
      <c r="F122" s="88" t="b">
        <v>0</v>
      </c>
      <c r="G122" s="88" t="b">
        <v>0</v>
      </c>
    </row>
    <row r="123" spans="1:7" ht="15">
      <c r="A123" s="83" t="s">
        <v>2484</v>
      </c>
      <c r="B123" s="88">
        <v>4</v>
      </c>
      <c r="C123" s="110">
        <v>0.0018883591916409798</v>
      </c>
      <c r="D123" s="88" t="s">
        <v>2714</v>
      </c>
      <c r="E123" s="88" t="b">
        <v>0</v>
      </c>
      <c r="F123" s="88" t="b">
        <v>0</v>
      </c>
      <c r="G123" s="88" t="b">
        <v>0</v>
      </c>
    </row>
    <row r="124" spans="1:7" ht="15">
      <c r="A124" s="83" t="s">
        <v>2485</v>
      </c>
      <c r="B124" s="88">
        <v>4</v>
      </c>
      <c r="C124" s="110">
        <v>0.0018883591916409798</v>
      </c>
      <c r="D124" s="88" t="s">
        <v>2714</v>
      </c>
      <c r="E124" s="88" t="b">
        <v>0</v>
      </c>
      <c r="F124" s="88" t="b">
        <v>0</v>
      </c>
      <c r="G124" s="88" t="b">
        <v>0</v>
      </c>
    </row>
    <row r="125" spans="1:7" ht="15">
      <c r="A125" s="83" t="s">
        <v>2486</v>
      </c>
      <c r="B125" s="88">
        <v>4</v>
      </c>
      <c r="C125" s="110">
        <v>0.0018883591916409798</v>
      </c>
      <c r="D125" s="88" t="s">
        <v>2714</v>
      </c>
      <c r="E125" s="88" t="b">
        <v>0</v>
      </c>
      <c r="F125" s="88" t="b">
        <v>0</v>
      </c>
      <c r="G125" s="88" t="b">
        <v>0</v>
      </c>
    </row>
    <row r="126" spans="1:7" ht="15">
      <c r="A126" s="83" t="s">
        <v>381</v>
      </c>
      <c r="B126" s="88">
        <v>4</v>
      </c>
      <c r="C126" s="110">
        <v>0.0018883591916409798</v>
      </c>
      <c r="D126" s="88" t="s">
        <v>2714</v>
      </c>
      <c r="E126" s="88" t="b">
        <v>0</v>
      </c>
      <c r="F126" s="88" t="b">
        <v>0</v>
      </c>
      <c r="G126" s="88" t="b">
        <v>0</v>
      </c>
    </row>
    <row r="127" spans="1:7" ht="15">
      <c r="A127" s="83" t="s">
        <v>380</v>
      </c>
      <c r="B127" s="88">
        <v>4</v>
      </c>
      <c r="C127" s="110">
        <v>0.0018883591916409798</v>
      </c>
      <c r="D127" s="88" t="s">
        <v>2714</v>
      </c>
      <c r="E127" s="88" t="b">
        <v>0</v>
      </c>
      <c r="F127" s="88" t="b">
        <v>0</v>
      </c>
      <c r="G127" s="88" t="b">
        <v>0</v>
      </c>
    </row>
    <row r="128" spans="1:7" ht="15">
      <c r="A128" s="83" t="s">
        <v>2487</v>
      </c>
      <c r="B128" s="88">
        <v>4</v>
      </c>
      <c r="C128" s="110">
        <v>0.0018883591916409798</v>
      </c>
      <c r="D128" s="88" t="s">
        <v>2714</v>
      </c>
      <c r="E128" s="88" t="b">
        <v>1</v>
      </c>
      <c r="F128" s="88" t="b">
        <v>0</v>
      </c>
      <c r="G128" s="88" t="b">
        <v>0</v>
      </c>
    </row>
    <row r="129" spans="1:7" ht="15">
      <c r="A129" s="83" t="s">
        <v>2488</v>
      </c>
      <c r="B129" s="88">
        <v>4</v>
      </c>
      <c r="C129" s="110">
        <v>0.0018883591916409798</v>
      </c>
      <c r="D129" s="88" t="s">
        <v>2714</v>
      </c>
      <c r="E129" s="88" t="b">
        <v>1</v>
      </c>
      <c r="F129" s="88" t="b">
        <v>0</v>
      </c>
      <c r="G129" s="88" t="b">
        <v>0</v>
      </c>
    </row>
    <row r="130" spans="1:7" ht="15">
      <c r="A130" s="83" t="s">
        <v>2489</v>
      </c>
      <c r="B130" s="88">
        <v>4</v>
      </c>
      <c r="C130" s="110">
        <v>0.0018883591916409798</v>
      </c>
      <c r="D130" s="88" t="s">
        <v>2714</v>
      </c>
      <c r="E130" s="88" t="b">
        <v>0</v>
      </c>
      <c r="F130" s="88" t="b">
        <v>0</v>
      </c>
      <c r="G130" s="88" t="b">
        <v>0</v>
      </c>
    </row>
    <row r="131" spans="1:7" ht="15">
      <c r="A131" s="83" t="s">
        <v>2490</v>
      </c>
      <c r="B131" s="88">
        <v>4</v>
      </c>
      <c r="C131" s="110">
        <v>0.0018883591916409798</v>
      </c>
      <c r="D131" s="88" t="s">
        <v>2714</v>
      </c>
      <c r="E131" s="88" t="b">
        <v>0</v>
      </c>
      <c r="F131" s="88" t="b">
        <v>0</v>
      </c>
      <c r="G131" s="88" t="b">
        <v>0</v>
      </c>
    </row>
    <row r="132" spans="1:7" ht="15">
      <c r="A132" s="83" t="s">
        <v>2491</v>
      </c>
      <c r="B132" s="88">
        <v>4</v>
      </c>
      <c r="C132" s="110">
        <v>0.0018883591916409798</v>
      </c>
      <c r="D132" s="88" t="s">
        <v>2714</v>
      </c>
      <c r="E132" s="88" t="b">
        <v>0</v>
      </c>
      <c r="F132" s="88" t="b">
        <v>0</v>
      </c>
      <c r="G132" s="88" t="b">
        <v>0</v>
      </c>
    </row>
    <row r="133" spans="1:7" ht="15">
      <c r="A133" s="83" t="s">
        <v>2492</v>
      </c>
      <c r="B133" s="88">
        <v>4</v>
      </c>
      <c r="C133" s="110">
        <v>0.0018883591916409798</v>
      </c>
      <c r="D133" s="88" t="s">
        <v>2714</v>
      </c>
      <c r="E133" s="88" t="b">
        <v>0</v>
      </c>
      <c r="F133" s="88" t="b">
        <v>0</v>
      </c>
      <c r="G133" s="88" t="b">
        <v>0</v>
      </c>
    </row>
    <row r="134" spans="1:7" ht="15">
      <c r="A134" s="83" t="s">
        <v>2006</v>
      </c>
      <c r="B134" s="88">
        <v>4</v>
      </c>
      <c r="C134" s="110">
        <v>0.0018883591916409798</v>
      </c>
      <c r="D134" s="88" t="s">
        <v>2714</v>
      </c>
      <c r="E134" s="88" t="b">
        <v>0</v>
      </c>
      <c r="F134" s="88" t="b">
        <v>0</v>
      </c>
      <c r="G134" s="88" t="b">
        <v>0</v>
      </c>
    </row>
    <row r="135" spans="1:7" ht="15">
      <c r="A135" s="83" t="s">
        <v>362</v>
      </c>
      <c r="B135" s="88">
        <v>4</v>
      </c>
      <c r="C135" s="110">
        <v>0.0018883591916409798</v>
      </c>
      <c r="D135" s="88" t="s">
        <v>2714</v>
      </c>
      <c r="E135" s="88" t="b">
        <v>0</v>
      </c>
      <c r="F135" s="88" t="b">
        <v>0</v>
      </c>
      <c r="G135" s="88" t="b">
        <v>0</v>
      </c>
    </row>
    <row r="136" spans="1:7" ht="15">
      <c r="A136" s="83" t="s">
        <v>2493</v>
      </c>
      <c r="B136" s="88">
        <v>4</v>
      </c>
      <c r="C136" s="110">
        <v>0.0018883591916409798</v>
      </c>
      <c r="D136" s="88" t="s">
        <v>2714</v>
      </c>
      <c r="E136" s="88" t="b">
        <v>0</v>
      </c>
      <c r="F136" s="88" t="b">
        <v>0</v>
      </c>
      <c r="G136" s="88" t="b">
        <v>0</v>
      </c>
    </row>
    <row r="137" spans="1:7" ht="15">
      <c r="A137" s="83" t="s">
        <v>2494</v>
      </c>
      <c r="B137" s="88">
        <v>4</v>
      </c>
      <c r="C137" s="110">
        <v>0.0018883591916409798</v>
      </c>
      <c r="D137" s="88" t="s">
        <v>2714</v>
      </c>
      <c r="E137" s="88" t="b">
        <v>0</v>
      </c>
      <c r="F137" s="88" t="b">
        <v>0</v>
      </c>
      <c r="G137" s="88" t="b">
        <v>0</v>
      </c>
    </row>
    <row r="138" spans="1:7" ht="15">
      <c r="A138" s="83" t="s">
        <v>2495</v>
      </c>
      <c r="B138" s="88">
        <v>4</v>
      </c>
      <c r="C138" s="110">
        <v>0.0018883591916409798</v>
      </c>
      <c r="D138" s="88" t="s">
        <v>2714</v>
      </c>
      <c r="E138" s="88" t="b">
        <v>0</v>
      </c>
      <c r="F138" s="88" t="b">
        <v>0</v>
      </c>
      <c r="G138" s="88" t="b">
        <v>0</v>
      </c>
    </row>
    <row r="139" spans="1:7" ht="15">
      <c r="A139" s="83" t="s">
        <v>2496</v>
      </c>
      <c r="B139" s="88">
        <v>4</v>
      </c>
      <c r="C139" s="110">
        <v>0.0018883591916409798</v>
      </c>
      <c r="D139" s="88" t="s">
        <v>2714</v>
      </c>
      <c r="E139" s="88" t="b">
        <v>0</v>
      </c>
      <c r="F139" s="88" t="b">
        <v>0</v>
      </c>
      <c r="G139" s="88" t="b">
        <v>0</v>
      </c>
    </row>
    <row r="140" spans="1:7" ht="15">
      <c r="A140" s="83" t="s">
        <v>2497</v>
      </c>
      <c r="B140" s="88">
        <v>4</v>
      </c>
      <c r="C140" s="110">
        <v>0.0018883591916409798</v>
      </c>
      <c r="D140" s="88" t="s">
        <v>2714</v>
      </c>
      <c r="E140" s="88" t="b">
        <v>0</v>
      </c>
      <c r="F140" s="88" t="b">
        <v>0</v>
      </c>
      <c r="G140" s="88" t="b">
        <v>0</v>
      </c>
    </row>
    <row r="141" spans="1:7" ht="15">
      <c r="A141" s="83" t="s">
        <v>2498</v>
      </c>
      <c r="B141" s="88">
        <v>4</v>
      </c>
      <c r="C141" s="110">
        <v>0.0018883591916409798</v>
      </c>
      <c r="D141" s="88" t="s">
        <v>2714</v>
      </c>
      <c r="E141" s="88" t="b">
        <v>0</v>
      </c>
      <c r="F141" s="88" t="b">
        <v>0</v>
      </c>
      <c r="G141" s="88" t="b">
        <v>0</v>
      </c>
    </row>
    <row r="142" spans="1:7" ht="15">
      <c r="A142" s="83" t="s">
        <v>2499</v>
      </c>
      <c r="B142" s="88">
        <v>4</v>
      </c>
      <c r="C142" s="110">
        <v>0.0018883591916409798</v>
      </c>
      <c r="D142" s="88" t="s">
        <v>2714</v>
      </c>
      <c r="E142" s="88" t="b">
        <v>0</v>
      </c>
      <c r="F142" s="88" t="b">
        <v>0</v>
      </c>
      <c r="G142" s="88" t="b">
        <v>0</v>
      </c>
    </row>
    <row r="143" spans="1:7" ht="15">
      <c r="A143" s="83" t="s">
        <v>1999</v>
      </c>
      <c r="B143" s="88">
        <v>4</v>
      </c>
      <c r="C143" s="110">
        <v>0.0020296526455378418</v>
      </c>
      <c r="D143" s="88" t="s">
        <v>2714</v>
      </c>
      <c r="E143" s="88" t="b">
        <v>0</v>
      </c>
      <c r="F143" s="88" t="b">
        <v>0</v>
      </c>
      <c r="G143" s="88" t="b">
        <v>0</v>
      </c>
    </row>
    <row r="144" spans="1:7" ht="15">
      <c r="A144" s="83" t="s">
        <v>2500</v>
      </c>
      <c r="B144" s="88">
        <v>4</v>
      </c>
      <c r="C144" s="110">
        <v>0.0018883591916409798</v>
      </c>
      <c r="D144" s="88" t="s">
        <v>2714</v>
      </c>
      <c r="E144" s="88" t="b">
        <v>0</v>
      </c>
      <c r="F144" s="88" t="b">
        <v>0</v>
      </c>
      <c r="G144" s="88" t="b">
        <v>0</v>
      </c>
    </row>
    <row r="145" spans="1:7" ht="15">
      <c r="A145" s="83" t="s">
        <v>2501</v>
      </c>
      <c r="B145" s="88">
        <v>4</v>
      </c>
      <c r="C145" s="110">
        <v>0.0018883591916409798</v>
      </c>
      <c r="D145" s="88" t="s">
        <v>2714</v>
      </c>
      <c r="E145" s="88" t="b">
        <v>0</v>
      </c>
      <c r="F145" s="88" t="b">
        <v>0</v>
      </c>
      <c r="G145" s="88" t="b">
        <v>0</v>
      </c>
    </row>
    <row r="146" spans="1:7" ht="15">
      <c r="A146" s="83" t="s">
        <v>2502</v>
      </c>
      <c r="B146" s="88">
        <v>4</v>
      </c>
      <c r="C146" s="110">
        <v>0.0018883591916409798</v>
      </c>
      <c r="D146" s="88" t="s">
        <v>2714</v>
      </c>
      <c r="E146" s="88" t="b">
        <v>0</v>
      </c>
      <c r="F146" s="88" t="b">
        <v>0</v>
      </c>
      <c r="G146" s="88" t="b">
        <v>0</v>
      </c>
    </row>
    <row r="147" spans="1:7" ht="15">
      <c r="A147" s="83" t="s">
        <v>2002</v>
      </c>
      <c r="B147" s="88">
        <v>4</v>
      </c>
      <c r="C147" s="110">
        <v>0.0022287945839666585</v>
      </c>
      <c r="D147" s="88" t="s">
        <v>2714</v>
      </c>
      <c r="E147" s="88" t="b">
        <v>0</v>
      </c>
      <c r="F147" s="88" t="b">
        <v>0</v>
      </c>
      <c r="G147" s="88" t="b">
        <v>0</v>
      </c>
    </row>
    <row r="148" spans="1:7" ht="15">
      <c r="A148" s="83" t="s">
        <v>2503</v>
      </c>
      <c r="B148" s="88">
        <v>3</v>
      </c>
      <c r="C148" s="110">
        <v>0.0015222394841533813</v>
      </c>
      <c r="D148" s="88" t="s">
        <v>2714</v>
      </c>
      <c r="E148" s="88" t="b">
        <v>0</v>
      </c>
      <c r="F148" s="88" t="b">
        <v>0</v>
      </c>
      <c r="G148" s="88" t="b">
        <v>0</v>
      </c>
    </row>
    <row r="149" spans="1:7" ht="15">
      <c r="A149" s="83" t="s">
        <v>2504</v>
      </c>
      <c r="B149" s="88">
        <v>3</v>
      </c>
      <c r="C149" s="110">
        <v>0.0015222394841533813</v>
      </c>
      <c r="D149" s="88" t="s">
        <v>2714</v>
      </c>
      <c r="E149" s="88" t="b">
        <v>0</v>
      </c>
      <c r="F149" s="88" t="b">
        <v>0</v>
      </c>
      <c r="G149" s="88" t="b">
        <v>0</v>
      </c>
    </row>
    <row r="150" spans="1:7" ht="15">
      <c r="A150" s="83" t="s">
        <v>2008</v>
      </c>
      <c r="B150" s="88">
        <v>3</v>
      </c>
      <c r="C150" s="110">
        <v>0.0015222394841533813</v>
      </c>
      <c r="D150" s="88" t="s">
        <v>2714</v>
      </c>
      <c r="E150" s="88" t="b">
        <v>0</v>
      </c>
      <c r="F150" s="88" t="b">
        <v>0</v>
      </c>
      <c r="G150" s="88" t="b">
        <v>0</v>
      </c>
    </row>
    <row r="151" spans="1:7" ht="15">
      <c r="A151" s="83" t="s">
        <v>373</v>
      </c>
      <c r="B151" s="88">
        <v>3</v>
      </c>
      <c r="C151" s="110">
        <v>0.0015222394841533813</v>
      </c>
      <c r="D151" s="88" t="s">
        <v>2714</v>
      </c>
      <c r="E151" s="88" t="b">
        <v>0</v>
      </c>
      <c r="F151" s="88" t="b">
        <v>0</v>
      </c>
      <c r="G151" s="88" t="b">
        <v>0</v>
      </c>
    </row>
    <row r="152" spans="1:7" ht="15">
      <c r="A152" s="83" t="s">
        <v>2505</v>
      </c>
      <c r="B152" s="88">
        <v>3</v>
      </c>
      <c r="C152" s="110">
        <v>0.0015222394841533813</v>
      </c>
      <c r="D152" s="88" t="s">
        <v>2714</v>
      </c>
      <c r="E152" s="88" t="b">
        <v>0</v>
      </c>
      <c r="F152" s="88" t="b">
        <v>0</v>
      </c>
      <c r="G152" s="88" t="b">
        <v>0</v>
      </c>
    </row>
    <row r="153" spans="1:7" ht="15">
      <c r="A153" s="83" t="s">
        <v>2506</v>
      </c>
      <c r="B153" s="88">
        <v>3</v>
      </c>
      <c r="C153" s="110">
        <v>0.0015222394841533813</v>
      </c>
      <c r="D153" s="88" t="s">
        <v>2714</v>
      </c>
      <c r="E153" s="88" t="b">
        <v>0</v>
      </c>
      <c r="F153" s="88" t="b">
        <v>0</v>
      </c>
      <c r="G153" s="88" t="b">
        <v>0</v>
      </c>
    </row>
    <row r="154" spans="1:7" ht="15">
      <c r="A154" s="83" t="s">
        <v>2507</v>
      </c>
      <c r="B154" s="88">
        <v>3</v>
      </c>
      <c r="C154" s="110">
        <v>0.0015222394841533813</v>
      </c>
      <c r="D154" s="88" t="s">
        <v>2714</v>
      </c>
      <c r="E154" s="88" t="b">
        <v>0</v>
      </c>
      <c r="F154" s="88" t="b">
        <v>0</v>
      </c>
      <c r="G154" s="88" t="b">
        <v>0</v>
      </c>
    </row>
    <row r="155" spans="1:7" ht="15">
      <c r="A155" s="83" t="s">
        <v>2508</v>
      </c>
      <c r="B155" s="88">
        <v>3</v>
      </c>
      <c r="C155" s="110">
        <v>0.0015222394841533813</v>
      </c>
      <c r="D155" s="88" t="s">
        <v>2714</v>
      </c>
      <c r="E155" s="88" t="b">
        <v>0</v>
      </c>
      <c r="F155" s="88" t="b">
        <v>0</v>
      </c>
      <c r="G155" s="88" t="b">
        <v>0</v>
      </c>
    </row>
    <row r="156" spans="1:7" ht="15">
      <c r="A156" s="83" t="s">
        <v>2509</v>
      </c>
      <c r="B156" s="88">
        <v>3</v>
      </c>
      <c r="C156" s="110">
        <v>0.0015222394841533813</v>
      </c>
      <c r="D156" s="88" t="s">
        <v>2714</v>
      </c>
      <c r="E156" s="88" t="b">
        <v>0</v>
      </c>
      <c r="F156" s="88" t="b">
        <v>0</v>
      </c>
      <c r="G156" s="88" t="b">
        <v>0</v>
      </c>
    </row>
    <row r="157" spans="1:7" ht="15">
      <c r="A157" s="83" t="s">
        <v>2510</v>
      </c>
      <c r="B157" s="88">
        <v>3</v>
      </c>
      <c r="C157" s="110">
        <v>0.0015222394841533813</v>
      </c>
      <c r="D157" s="88" t="s">
        <v>2714</v>
      </c>
      <c r="E157" s="88" t="b">
        <v>0</v>
      </c>
      <c r="F157" s="88" t="b">
        <v>0</v>
      </c>
      <c r="G157" s="88" t="b">
        <v>0</v>
      </c>
    </row>
    <row r="158" spans="1:7" ht="15">
      <c r="A158" s="83" t="s">
        <v>2511</v>
      </c>
      <c r="B158" s="88">
        <v>3</v>
      </c>
      <c r="C158" s="110">
        <v>0.0015222394841533813</v>
      </c>
      <c r="D158" s="88" t="s">
        <v>2714</v>
      </c>
      <c r="E158" s="88" t="b">
        <v>1</v>
      </c>
      <c r="F158" s="88" t="b">
        <v>0</v>
      </c>
      <c r="G158" s="88" t="b">
        <v>0</v>
      </c>
    </row>
    <row r="159" spans="1:7" ht="15">
      <c r="A159" s="83" t="s">
        <v>2512</v>
      </c>
      <c r="B159" s="88">
        <v>3</v>
      </c>
      <c r="C159" s="110">
        <v>0.0015222394841533813</v>
      </c>
      <c r="D159" s="88" t="s">
        <v>2714</v>
      </c>
      <c r="E159" s="88" t="b">
        <v>0</v>
      </c>
      <c r="F159" s="88" t="b">
        <v>0</v>
      </c>
      <c r="G159" s="88" t="b">
        <v>0</v>
      </c>
    </row>
    <row r="160" spans="1:7" ht="15">
      <c r="A160" s="83" t="s">
        <v>2513</v>
      </c>
      <c r="B160" s="88">
        <v>3</v>
      </c>
      <c r="C160" s="110">
        <v>0.0015222394841533813</v>
      </c>
      <c r="D160" s="88" t="s">
        <v>2714</v>
      </c>
      <c r="E160" s="88" t="b">
        <v>0</v>
      </c>
      <c r="F160" s="88" t="b">
        <v>0</v>
      </c>
      <c r="G160" s="88" t="b">
        <v>0</v>
      </c>
    </row>
    <row r="161" spans="1:7" ht="15">
      <c r="A161" s="83" t="s">
        <v>2514</v>
      </c>
      <c r="B161" s="88">
        <v>3</v>
      </c>
      <c r="C161" s="110">
        <v>0.0015222394841533813</v>
      </c>
      <c r="D161" s="88" t="s">
        <v>2714</v>
      </c>
      <c r="E161" s="88" t="b">
        <v>0</v>
      </c>
      <c r="F161" s="88" t="b">
        <v>0</v>
      </c>
      <c r="G161" s="88" t="b">
        <v>0</v>
      </c>
    </row>
    <row r="162" spans="1:7" ht="15">
      <c r="A162" s="83" t="s">
        <v>2515</v>
      </c>
      <c r="B162" s="88">
        <v>3</v>
      </c>
      <c r="C162" s="110">
        <v>0.0015222394841533813</v>
      </c>
      <c r="D162" s="88" t="s">
        <v>2714</v>
      </c>
      <c r="E162" s="88" t="b">
        <v>0</v>
      </c>
      <c r="F162" s="88" t="b">
        <v>0</v>
      </c>
      <c r="G162" s="88" t="b">
        <v>0</v>
      </c>
    </row>
    <row r="163" spans="1:7" ht="15">
      <c r="A163" s="83" t="s">
        <v>2516</v>
      </c>
      <c r="B163" s="88">
        <v>3</v>
      </c>
      <c r="C163" s="110">
        <v>0.0015222394841533813</v>
      </c>
      <c r="D163" s="88" t="s">
        <v>2714</v>
      </c>
      <c r="E163" s="88" t="b">
        <v>0</v>
      </c>
      <c r="F163" s="88" t="b">
        <v>0</v>
      </c>
      <c r="G163" s="88" t="b">
        <v>0</v>
      </c>
    </row>
    <row r="164" spans="1:7" ht="15">
      <c r="A164" s="83" t="s">
        <v>2517</v>
      </c>
      <c r="B164" s="88">
        <v>3</v>
      </c>
      <c r="C164" s="110">
        <v>0.0015222394841533813</v>
      </c>
      <c r="D164" s="88" t="s">
        <v>2714</v>
      </c>
      <c r="E164" s="88" t="b">
        <v>0</v>
      </c>
      <c r="F164" s="88" t="b">
        <v>0</v>
      </c>
      <c r="G164" s="88" t="b">
        <v>0</v>
      </c>
    </row>
    <row r="165" spans="1:7" ht="15">
      <c r="A165" s="83" t="s">
        <v>2518</v>
      </c>
      <c r="B165" s="88">
        <v>3</v>
      </c>
      <c r="C165" s="110">
        <v>0.0015222394841533813</v>
      </c>
      <c r="D165" s="88" t="s">
        <v>2714</v>
      </c>
      <c r="E165" s="88" t="b">
        <v>0</v>
      </c>
      <c r="F165" s="88" t="b">
        <v>0</v>
      </c>
      <c r="G165" s="88" t="b">
        <v>0</v>
      </c>
    </row>
    <row r="166" spans="1:7" ht="15">
      <c r="A166" s="83" t="s">
        <v>2519</v>
      </c>
      <c r="B166" s="88">
        <v>3</v>
      </c>
      <c r="C166" s="110">
        <v>0.0015222394841533813</v>
      </c>
      <c r="D166" s="88" t="s">
        <v>2714</v>
      </c>
      <c r="E166" s="88" t="b">
        <v>1</v>
      </c>
      <c r="F166" s="88" t="b">
        <v>0</v>
      </c>
      <c r="G166" s="88" t="b">
        <v>0</v>
      </c>
    </row>
    <row r="167" spans="1:7" ht="15">
      <c r="A167" s="83" t="s">
        <v>2520</v>
      </c>
      <c r="B167" s="88">
        <v>3</v>
      </c>
      <c r="C167" s="110">
        <v>0.0015222394841533813</v>
      </c>
      <c r="D167" s="88" t="s">
        <v>2714</v>
      </c>
      <c r="E167" s="88" t="b">
        <v>0</v>
      </c>
      <c r="F167" s="88" t="b">
        <v>0</v>
      </c>
      <c r="G167" s="88" t="b">
        <v>0</v>
      </c>
    </row>
    <row r="168" spans="1:7" ht="15">
      <c r="A168" s="83" t="s">
        <v>2521</v>
      </c>
      <c r="B168" s="88">
        <v>3</v>
      </c>
      <c r="C168" s="110">
        <v>0.0015222394841533813</v>
      </c>
      <c r="D168" s="88" t="s">
        <v>2714</v>
      </c>
      <c r="E168" s="88" t="b">
        <v>0</v>
      </c>
      <c r="F168" s="88" t="b">
        <v>0</v>
      </c>
      <c r="G168" s="88" t="b">
        <v>0</v>
      </c>
    </row>
    <row r="169" spans="1:7" ht="15">
      <c r="A169" s="83" t="s">
        <v>2522</v>
      </c>
      <c r="B169" s="88">
        <v>3</v>
      </c>
      <c r="C169" s="110">
        <v>0.0015222394841533813</v>
      </c>
      <c r="D169" s="88" t="s">
        <v>2714</v>
      </c>
      <c r="E169" s="88" t="b">
        <v>0</v>
      </c>
      <c r="F169" s="88" t="b">
        <v>0</v>
      </c>
      <c r="G169" s="88" t="b">
        <v>0</v>
      </c>
    </row>
    <row r="170" spans="1:7" ht="15">
      <c r="A170" s="83" t="s">
        <v>2523</v>
      </c>
      <c r="B170" s="88">
        <v>3</v>
      </c>
      <c r="C170" s="110">
        <v>0.0015222394841533813</v>
      </c>
      <c r="D170" s="88" t="s">
        <v>2714</v>
      </c>
      <c r="E170" s="88" t="b">
        <v>0</v>
      </c>
      <c r="F170" s="88" t="b">
        <v>0</v>
      </c>
      <c r="G170" s="88" t="b">
        <v>0</v>
      </c>
    </row>
    <row r="171" spans="1:7" ht="15">
      <c r="A171" s="83" t="s">
        <v>2524</v>
      </c>
      <c r="B171" s="88">
        <v>3</v>
      </c>
      <c r="C171" s="110">
        <v>0.0015222394841533813</v>
      </c>
      <c r="D171" s="88" t="s">
        <v>2714</v>
      </c>
      <c r="E171" s="88" t="b">
        <v>0</v>
      </c>
      <c r="F171" s="88" t="b">
        <v>0</v>
      </c>
      <c r="G171" s="88" t="b">
        <v>0</v>
      </c>
    </row>
    <row r="172" spans="1:7" ht="15">
      <c r="A172" s="83" t="s">
        <v>2525</v>
      </c>
      <c r="B172" s="88">
        <v>3</v>
      </c>
      <c r="C172" s="110">
        <v>0.0015222394841533813</v>
      </c>
      <c r="D172" s="88" t="s">
        <v>2714</v>
      </c>
      <c r="E172" s="88" t="b">
        <v>0</v>
      </c>
      <c r="F172" s="88" t="b">
        <v>0</v>
      </c>
      <c r="G172" s="88" t="b">
        <v>0</v>
      </c>
    </row>
    <row r="173" spans="1:7" ht="15">
      <c r="A173" s="83" t="s">
        <v>2526</v>
      </c>
      <c r="B173" s="88">
        <v>3</v>
      </c>
      <c r="C173" s="110">
        <v>0.0015222394841533813</v>
      </c>
      <c r="D173" s="88" t="s">
        <v>2714</v>
      </c>
      <c r="E173" s="88" t="b">
        <v>0</v>
      </c>
      <c r="F173" s="88" t="b">
        <v>0</v>
      </c>
      <c r="G173" s="88" t="b">
        <v>0</v>
      </c>
    </row>
    <row r="174" spans="1:7" ht="15">
      <c r="A174" s="83" t="s">
        <v>2527</v>
      </c>
      <c r="B174" s="88">
        <v>3</v>
      </c>
      <c r="C174" s="110">
        <v>0.0015222394841533813</v>
      </c>
      <c r="D174" s="88" t="s">
        <v>2714</v>
      </c>
      <c r="E174" s="88" t="b">
        <v>0</v>
      </c>
      <c r="F174" s="88" t="b">
        <v>0</v>
      </c>
      <c r="G174" s="88" t="b">
        <v>0</v>
      </c>
    </row>
    <row r="175" spans="1:7" ht="15">
      <c r="A175" s="83" t="s">
        <v>2528</v>
      </c>
      <c r="B175" s="88">
        <v>3</v>
      </c>
      <c r="C175" s="110">
        <v>0.0015222394841533813</v>
      </c>
      <c r="D175" s="88" t="s">
        <v>2714</v>
      </c>
      <c r="E175" s="88" t="b">
        <v>0</v>
      </c>
      <c r="F175" s="88" t="b">
        <v>0</v>
      </c>
      <c r="G175" s="88" t="b">
        <v>0</v>
      </c>
    </row>
    <row r="176" spans="1:7" ht="15">
      <c r="A176" s="83" t="s">
        <v>2529</v>
      </c>
      <c r="B176" s="88">
        <v>3</v>
      </c>
      <c r="C176" s="110">
        <v>0.0015222394841533813</v>
      </c>
      <c r="D176" s="88" t="s">
        <v>2714</v>
      </c>
      <c r="E176" s="88" t="b">
        <v>0</v>
      </c>
      <c r="F176" s="88" t="b">
        <v>0</v>
      </c>
      <c r="G176" s="88" t="b">
        <v>0</v>
      </c>
    </row>
    <row r="177" spans="1:7" ht="15">
      <c r="A177" s="83" t="s">
        <v>2530</v>
      </c>
      <c r="B177" s="88">
        <v>3</v>
      </c>
      <c r="C177" s="110">
        <v>0.0015222394841533813</v>
      </c>
      <c r="D177" s="88" t="s">
        <v>2714</v>
      </c>
      <c r="E177" s="88" t="b">
        <v>0</v>
      </c>
      <c r="F177" s="88" t="b">
        <v>0</v>
      </c>
      <c r="G177" s="88" t="b">
        <v>0</v>
      </c>
    </row>
    <row r="178" spans="1:7" ht="15">
      <c r="A178" s="83" t="s">
        <v>2531</v>
      </c>
      <c r="B178" s="88">
        <v>3</v>
      </c>
      <c r="C178" s="110">
        <v>0.0015222394841533813</v>
      </c>
      <c r="D178" s="88" t="s">
        <v>2714</v>
      </c>
      <c r="E178" s="88" t="b">
        <v>0</v>
      </c>
      <c r="F178" s="88" t="b">
        <v>0</v>
      </c>
      <c r="G178" s="88" t="b">
        <v>0</v>
      </c>
    </row>
    <row r="179" spans="1:7" ht="15">
      <c r="A179" s="83" t="s">
        <v>2532</v>
      </c>
      <c r="B179" s="88">
        <v>3</v>
      </c>
      <c r="C179" s="110">
        <v>0.0015222394841533813</v>
      </c>
      <c r="D179" s="88" t="s">
        <v>2714</v>
      </c>
      <c r="E179" s="88" t="b">
        <v>0</v>
      </c>
      <c r="F179" s="88" t="b">
        <v>0</v>
      </c>
      <c r="G179" s="88" t="b">
        <v>0</v>
      </c>
    </row>
    <row r="180" spans="1:7" ht="15">
      <c r="A180" s="83" t="s">
        <v>2533</v>
      </c>
      <c r="B180" s="88">
        <v>3</v>
      </c>
      <c r="C180" s="110">
        <v>0.0015222394841533813</v>
      </c>
      <c r="D180" s="88" t="s">
        <v>2714</v>
      </c>
      <c r="E180" s="88" t="b">
        <v>0</v>
      </c>
      <c r="F180" s="88" t="b">
        <v>0</v>
      </c>
      <c r="G180" s="88" t="b">
        <v>0</v>
      </c>
    </row>
    <row r="181" spans="1:7" ht="15">
      <c r="A181" s="83" t="s">
        <v>2534</v>
      </c>
      <c r="B181" s="88">
        <v>3</v>
      </c>
      <c r="C181" s="110">
        <v>0.0015222394841533813</v>
      </c>
      <c r="D181" s="88" t="s">
        <v>2714</v>
      </c>
      <c r="E181" s="88" t="b">
        <v>0</v>
      </c>
      <c r="F181" s="88" t="b">
        <v>0</v>
      </c>
      <c r="G181" s="88" t="b">
        <v>0</v>
      </c>
    </row>
    <row r="182" spans="1:7" ht="15">
      <c r="A182" s="83" t="s">
        <v>2535</v>
      </c>
      <c r="B182" s="88">
        <v>3</v>
      </c>
      <c r="C182" s="110">
        <v>0.0015222394841533813</v>
      </c>
      <c r="D182" s="88" t="s">
        <v>2714</v>
      </c>
      <c r="E182" s="88" t="b">
        <v>0</v>
      </c>
      <c r="F182" s="88" t="b">
        <v>0</v>
      </c>
      <c r="G182" s="88" t="b">
        <v>0</v>
      </c>
    </row>
    <row r="183" spans="1:7" ht="15">
      <c r="A183" s="83" t="s">
        <v>2536</v>
      </c>
      <c r="B183" s="88">
        <v>3</v>
      </c>
      <c r="C183" s="110">
        <v>0.0019269224822192528</v>
      </c>
      <c r="D183" s="88" t="s">
        <v>2714</v>
      </c>
      <c r="E183" s="88" t="b">
        <v>1</v>
      </c>
      <c r="F183" s="88" t="b">
        <v>0</v>
      </c>
      <c r="G183" s="88" t="b">
        <v>0</v>
      </c>
    </row>
    <row r="184" spans="1:7" ht="15">
      <c r="A184" s="83" t="s">
        <v>2018</v>
      </c>
      <c r="B184" s="88">
        <v>3</v>
      </c>
      <c r="C184" s="110">
        <v>0.0015222394841533813</v>
      </c>
      <c r="D184" s="88" t="s">
        <v>2714</v>
      </c>
      <c r="E184" s="88" t="b">
        <v>0</v>
      </c>
      <c r="F184" s="88" t="b">
        <v>0</v>
      </c>
      <c r="G184" s="88" t="b">
        <v>0</v>
      </c>
    </row>
    <row r="185" spans="1:7" ht="15">
      <c r="A185" s="83" t="s">
        <v>2020</v>
      </c>
      <c r="B185" s="88">
        <v>3</v>
      </c>
      <c r="C185" s="110">
        <v>0.0015222394841533813</v>
      </c>
      <c r="D185" s="88" t="s">
        <v>2714</v>
      </c>
      <c r="E185" s="88" t="b">
        <v>0</v>
      </c>
      <c r="F185" s="88" t="b">
        <v>0</v>
      </c>
      <c r="G185" s="88" t="b">
        <v>0</v>
      </c>
    </row>
    <row r="186" spans="1:7" ht="15">
      <c r="A186" s="83" t="s">
        <v>2537</v>
      </c>
      <c r="B186" s="88">
        <v>3</v>
      </c>
      <c r="C186" s="110">
        <v>0.0015222394841533813</v>
      </c>
      <c r="D186" s="88" t="s">
        <v>2714</v>
      </c>
      <c r="E186" s="88" t="b">
        <v>1</v>
      </c>
      <c r="F186" s="88" t="b">
        <v>0</v>
      </c>
      <c r="G186" s="88" t="b">
        <v>0</v>
      </c>
    </row>
    <row r="187" spans="1:7" ht="15">
      <c r="A187" s="83" t="s">
        <v>2538</v>
      </c>
      <c r="B187" s="88">
        <v>3</v>
      </c>
      <c r="C187" s="110">
        <v>0.0015222394841533813</v>
      </c>
      <c r="D187" s="88" t="s">
        <v>2714</v>
      </c>
      <c r="E187" s="88" t="b">
        <v>0</v>
      </c>
      <c r="F187" s="88" t="b">
        <v>0</v>
      </c>
      <c r="G187" s="88" t="b">
        <v>0</v>
      </c>
    </row>
    <row r="188" spans="1:7" ht="15">
      <c r="A188" s="83" t="s">
        <v>2539</v>
      </c>
      <c r="B188" s="88">
        <v>3</v>
      </c>
      <c r="C188" s="110">
        <v>0.0015222394841533813</v>
      </c>
      <c r="D188" s="88" t="s">
        <v>2714</v>
      </c>
      <c r="E188" s="88" t="b">
        <v>0</v>
      </c>
      <c r="F188" s="88" t="b">
        <v>0</v>
      </c>
      <c r="G188" s="88" t="b">
        <v>0</v>
      </c>
    </row>
    <row r="189" spans="1:7" ht="15">
      <c r="A189" s="83" t="s">
        <v>2540</v>
      </c>
      <c r="B189" s="88">
        <v>3</v>
      </c>
      <c r="C189" s="110">
        <v>0.0015222394841533813</v>
      </c>
      <c r="D189" s="88" t="s">
        <v>2714</v>
      </c>
      <c r="E189" s="88" t="b">
        <v>0</v>
      </c>
      <c r="F189" s="88" t="b">
        <v>0</v>
      </c>
      <c r="G189" s="88" t="b">
        <v>0</v>
      </c>
    </row>
    <row r="190" spans="1:7" ht="15">
      <c r="A190" s="83" t="s">
        <v>2541</v>
      </c>
      <c r="B190" s="88">
        <v>3</v>
      </c>
      <c r="C190" s="110">
        <v>0.0015222394841533813</v>
      </c>
      <c r="D190" s="88" t="s">
        <v>2714</v>
      </c>
      <c r="E190" s="88" t="b">
        <v>0</v>
      </c>
      <c r="F190" s="88" t="b">
        <v>0</v>
      </c>
      <c r="G190" s="88" t="b">
        <v>0</v>
      </c>
    </row>
    <row r="191" spans="1:7" ht="15">
      <c r="A191" s="83" t="s">
        <v>2542</v>
      </c>
      <c r="B191" s="88">
        <v>3</v>
      </c>
      <c r="C191" s="110">
        <v>0.0015222394841533813</v>
      </c>
      <c r="D191" s="88" t="s">
        <v>2714</v>
      </c>
      <c r="E191" s="88" t="b">
        <v>0</v>
      </c>
      <c r="F191" s="88" t="b">
        <v>0</v>
      </c>
      <c r="G191" s="88" t="b">
        <v>0</v>
      </c>
    </row>
    <row r="192" spans="1:7" ht="15">
      <c r="A192" s="83" t="s">
        <v>2543</v>
      </c>
      <c r="B192" s="88">
        <v>3</v>
      </c>
      <c r="C192" s="110">
        <v>0.0015222394841533813</v>
      </c>
      <c r="D192" s="88" t="s">
        <v>2714</v>
      </c>
      <c r="E192" s="88" t="b">
        <v>0</v>
      </c>
      <c r="F192" s="88" t="b">
        <v>0</v>
      </c>
      <c r="G192" s="88" t="b">
        <v>0</v>
      </c>
    </row>
    <row r="193" spans="1:7" ht="15">
      <c r="A193" s="83" t="s">
        <v>2544</v>
      </c>
      <c r="B193" s="88">
        <v>3</v>
      </c>
      <c r="C193" s="110">
        <v>0.0015222394841533813</v>
      </c>
      <c r="D193" s="88" t="s">
        <v>2714</v>
      </c>
      <c r="E193" s="88" t="b">
        <v>0</v>
      </c>
      <c r="F193" s="88" t="b">
        <v>0</v>
      </c>
      <c r="G193" s="88" t="b">
        <v>0</v>
      </c>
    </row>
    <row r="194" spans="1:7" ht="15">
      <c r="A194" s="83" t="s">
        <v>2545</v>
      </c>
      <c r="B194" s="88">
        <v>3</v>
      </c>
      <c r="C194" s="110">
        <v>0.0015222394841533813</v>
      </c>
      <c r="D194" s="88" t="s">
        <v>2714</v>
      </c>
      <c r="E194" s="88" t="b">
        <v>0</v>
      </c>
      <c r="F194" s="88" t="b">
        <v>0</v>
      </c>
      <c r="G194" s="88" t="b">
        <v>0</v>
      </c>
    </row>
    <row r="195" spans="1:7" ht="15">
      <c r="A195" s="83" t="s">
        <v>2546</v>
      </c>
      <c r="B195" s="88">
        <v>3</v>
      </c>
      <c r="C195" s="110">
        <v>0.0015222394841533813</v>
      </c>
      <c r="D195" s="88" t="s">
        <v>2714</v>
      </c>
      <c r="E195" s="88" t="b">
        <v>0</v>
      </c>
      <c r="F195" s="88" t="b">
        <v>0</v>
      </c>
      <c r="G195" s="88" t="b">
        <v>0</v>
      </c>
    </row>
    <row r="196" spans="1:7" ht="15">
      <c r="A196" s="83" t="s">
        <v>2547</v>
      </c>
      <c r="B196" s="88">
        <v>3</v>
      </c>
      <c r="C196" s="110">
        <v>0.0015222394841533813</v>
      </c>
      <c r="D196" s="88" t="s">
        <v>2714</v>
      </c>
      <c r="E196" s="88" t="b">
        <v>0</v>
      </c>
      <c r="F196" s="88" t="b">
        <v>0</v>
      </c>
      <c r="G196" s="88" t="b">
        <v>0</v>
      </c>
    </row>
    <row r="197" spans="1:7" ht="15">
      <c r="A197" s="83" t="s">
        <v>2548</v>
      </c>
      <c r="B197" s="88">
        <v>3</v>
      </c>
      <c r="C197" s="110">
        <v>0.0015222394841533813</v>
      </c>
      <c r="D197" s="88" t="s">
        <v>2714</v>
      </c>
      <c r="E197" s="88" t="b">
        <v>0</v>
      </c>
      <c r="F197" s="88" t="b">
        <v>0</v>
      </c>
      <c r="G197" s="88" t="b">
        <v>0</v>
      </c>
    </row>
    <row r="198" spans="1:7" ht="15">
      <c r="A198" s="83" t="s">
        <v>2000</v>
      </c>
      <c r="B198" s="88">
        <v>3</v>
      </c>
      <c r="C198" s="110">
        <v>0.0015222394841533813</v>
      </c>
      <c r="D198" s="88" t="s">
        <v>2714</v>
      </c>
      <c r="E198" s="88" t="b">
        <v>0</v>
      </c>
      <c r="F198" s="88" t="b">
        <v>0</v>
      </c>
      <c r="G198" s="88" t="b">
        <v>0</v>
      </c>
    </row>
    <row r="199" spans="1:7" ht="15">
      <c r="A199" s="83" t="s">
        <v>376</v>
      </c>
      <c r="B199" s="88">
        <v>3</v>
      </c>
      <c r="C199" s="110">
        <v>0.0015222394841533813</v>
      </c>
      <c r="D199" s="88" t="s">
        <v>2714</v>
      </c>
      <c r="E199" s="88" t="b">
        <v>0</v>
      </c>
      <c r="F199" s="88" t="b">
        <v>0</v>
      </c>
      <c r="G199" s="88" t="b">
        <v>0</v>
      </c>
    </row>
    <row r="200" spans="1:7" ht="15">
      <c r="A200" s="83" t="s">
        <v>2549</v>
      </c>
      <c r="B200" s="88">
        <v>3</v>
      </c>
      <c r="C200" s="110">
        <v>0.0015222394841533813</v>
      </c>
      <c r="D200" s="88" t="s">
        <v>2714</v>
      </c>
      <c r="E200" s="88" t="b">
        <v>0</v>
      </c>
      <c r="F200" s="88" t="b">
        <v>1</v>
      </c>
      <c r="G200" s="88" t="b">
        <v>0</v>
      </c>
    </row>
    <row r="201" spans="1:7" ht="15">
      <c r="A201" s="83" t="s">
        <v>2550</v>
      </c>
      <c r="B201" s="88">
        <v>3</v>
      </c>
      <c r="C201" s="110">
        <v>0.0015222394841533813</v>
      </c>
      <c r="D201" s="88" t="s">
        <v>2714</v>
      </c>
      <c r="E201" s="88" t="b">
        <v>0</v>
      </c>
      <c r="F201" s="88" t="b">
        <v>0</v>
      </c>
      <c r="G201" s="88" t="b">
        <v>0</v>
      </c>
    </row>
    <row r="202" spans="1:7" ht="15">
      <c r="A202" s="83" t="s">
        <v>2551</v>
      </c>
      <c r="B202" s="88">
        <v>3</v>
      </c>
      <c r="C202" s="110">
        <v>0.0015222394841533813</v>
      </c>
      <c r="D202" s="88" t="s">
        <v>2714</v>
      </c>
      <c r="E202" s="88" t="b">
        <v>0</v>
      </c>
      <c r="F202" s="88" t="b">
        <v>0</v>
      </c>
      <c r="G202" s="88" t="b">
        <v>0</v>
      </c>
    </row>
    <row r="203" spans="1:7" ht="15">
      <c r="A203" s="83" t="s">
        <v>2552</v>
      </c>
      <c r="B203" s="88">
        <v>3</v>
      </c>
      <c r="C203" s="110">
        <v>0.0015222394841533813</v>
      </c>
      <c r="D203" s="88" t="s">
        <v>2714</v>
      </c>
      <c r="E203" s="88" t="b">
        <v>0</v>
      </c>
      <c r="F203" s="88" t="b">
        <v>0</v>
      </c>
      <c r="G203" s="88" t="b">
        <v>0</v>
      </c>
    </row>
    <row r="204" spans="1:7" ht="15">
      <c r="A204" s="83" t="s">
        <v>2553</v>
      </c>
      <c r="B204" s="88">
        <v>3</v>
      </c>
      <c r="C204" s="110">
        <v>0.0015222394841533813</v>
      </c>
      <c r="D204" s="88" t="s">
        <v>2714</v>
      </c>
      <c r="E204" s="88" t="b">
        <v>0</v>
      </c>
      <c r="F204" s="88" t="b">
        <v>0</v>
      </c>
      <c r="G204" s="88" t="b">
        <v>0</v>
      </c>
    </row>
    <row r="205" spans="1:7" ht="15">
      <c r="A205" s="83" t="s">
        <v>2554</v>
      </c>
      <c r="B205" s="88">
        <v>3</v>
      </c>
      <c r="C205" s="110">
        <v>0.0015222394841533813</v>
      </c>
      <c r="D205" s="88" t="s">
        <v>2714</v>
      </c>
      <c r="E205" s="88" t="b">
        <v>0</v>
      </c>
      <c r="F205" s="88" t="b">
        <v>0</v>
      </c>
      <c r="G205" s="88" t="b">
        <v>0</v>
      </c>
    </row>
    <row r="206" spans="1:7" ht="15">
      <c r="A206" s="83" t="s">
        <v>2555</v>
      </c>
      <c r="B206" s="88">
        <v>3</v>
      </c>
      <c r="C206" s="110">
        <v>0.0015222394841533813</v>
      </c>
      <c r="D206" s="88" t="s">
        <v>2714</v>
      </c>
      <c r="E206" s="88" t="b">
        <v>0</v>
      </c>
      <c r="F206" s="88" t="b">
        <v>0</v>
      </c>
      <c r="G206" s="88" t="b">
        <v>0</v>
      </c>
    </row>
    <row r="207" spans="1:7" ht="15">
      <c r="A207" s="83" t="s">
        <v>2556</v>
      </c>
      <c r="B207" s="88">
        <v>3</v>
      </c>
      <c r="C207" s="110">
        <v>0.0015222394841533813</v>
      </c>
      <c r="D207" s="88" t="s">
        <v>2714</v>
      </c>
      <c r="E207" s="88" t="b">
        <v>0</v>
      </c>
      <c r="F207" s="88" t="b">
        <v>1</v>
      </c>
      <c r="G207" s="88" t="b">
        <v>0</v>
      </c>
    </row>
    <row r="208" spans="1:7" ht="15">
      <c r="A208" s="83" t="s">
        <v>2557</v>
      </c>
      <c r="B208" s="88">
        <v>3</v>
      </c>
      <c r="C208" s="110">
        <v>0.0015222394841533813</v>
      </c>
      <c r="D208" s="88" t="s">
        <v>2714</v>
      </c>
      <c r="E208" s="88" t="b">
        <v>0</v>
      </c>
      <c r="F208" s="88" t="b">
        <v>0</v>
      </c>
      <c r="G208" s="88" t="b">
        <v>0</v>
      </c>
    </row>
    <row r="209" spans="1:7" ht="15">
      <c r="A209" s="83" t="s">
        <v>2558</v>
      </c>
      <c r="B209" s="88">
        <v>3</v>
      </c>
      <c r="C209" s="110">
        <v>0.0015222394841533813</v>
      </c>
      <c r="D209" s="88" t="s">
        <v>2714</v>
      </c>
      <c r="E209" s="88" t="b">
        <v>0</v>
      </c>
      <c r="F209" s="88" t="b">
        <v>0</v>
      </c>
      <c r="G209" s="88" t="b">
        <v>0</v>
      </c>
    </row>
    <row r="210" spans="1:7" ht="15">
      <c r="A210" s="83" t="s">
        <v>2559</v>
      </c>
      <c r="B210" s="88">
        <v>3</v>
      </c>
      <c r="C210" s="110">
        <v>0.0015222394841533813</v>
      </c>
      <c r="D210" s="88" t="s">
        <v>2714</v>
      </c>
      <c r="E210" s="88" t="b">
        <v>0</v>
      </c>
      <c r="F210" s="88" t="b">
        <v>0</v>
      </c>
      <c r="G210" s="88" t="b">
        <v>0</v>
      </c>
    </row>
    <row r="211" spans="1:7" ht="15">
      <c r="A211" s="83" t="s">
        <v>2560</v>
      </c>
      <c r="B211" s="88">
        <v>3</v>
      </c>
      <c r="C211" s="110">
        <v>0.0015222394841533813</v>
      </c>
      <c r="D211" s="88" t="s">
        <v>2714</v>
      </c>
      <c r="E211" s="88" t="b">
        <v>0</v>
      </c>
      <c r="F211" s="88" t="b">
        <v>0</v>
      </c>
      <c r="G211" s="88" t="b">
        <v>0</v>
      </c>
    </row>
    <row r="212" spans="1:7" ht="15">
      <c r="A212" s="83" t="s">
        <v>2561</v>
      </c>
      <c r="B212" s="88">
        <v>3</v>
      </c>
      <c r="C212" s="110">
        <v>0.0015222394841533813</v>
      </c>
      <c r="D212" s="88" t="s">
        <v>2714</v>
      </c>
      <c r="E212" s="88" t="b">
        <v>1</v>
      </c>
      <c r="F212" s="88" t="b">
        <v>0</v>
      </c>
      <c r="G212" s="88" t="b">
        <v>0</v>
      </c>
    </row>
    <row r="213" spans="1:7" ht="15">
      <c r="A213" s="83" t="s">
        <v>2562</v>
      </c>
      <c r="B213" s="88">
        <v>3</v>
      </c>
      <c r="C213" s="110">
        <v>0.0015222394841533813</v>
      </c>
      <c r="D213" s="88" t="s">
        <v>2714</v>
      </c>
      <c r="E213" s="88" t="b">
        <v>0</v>
      </c>
      <c r="F213" s="88" t="b">
        <v>0</v>
      </c>
      <c r="G213" s="88" t="b">
        <v>0</v>
      </c>
    </row>
    <row r="214" spans="1:7" ht="15">
      <c r="A214" s="83" t="s">
        <v>2563</v>
      </c>
      <c r="B214" s="88">
        <v>3</v>
      </c>
      <c r="C214" s="110">
        <v>0.0015222394841533813</v>
      </c>
      <c r="D214" s="88" t="s">
        <v>2714</v>
      </c>
      <c r="E214" s="88" t="b">
        <v>0</v>
      </c>
      <c r="F214" s="88" t="b">
        <v>0</v>
      </c>
      <c r="G214" s="88" t="b">
        <v>0</v>
      </c>
    </row>
    <row r="215" spans="1:7" ht="15">
      <c r="A215" s="83" t="s">
        <v>2004</v>
      </c>
      <c r="B215" s="88">
        <v>3</v>
      </c>
      <c r="C215" s="110">
        <v>0.0015222394841533813</v>
      </c>
      <c r="D215" s="88" t="s">
        <v>2714</v>
      </c>
      <c r="E215" s="88" t="b">
        <v>0</v>
      </c>
      <c r="F215" s="88" t="b">
        <v>0</v>
      </c>
      <c r="G215" s="88" t="b">
        <v>0</v>
      </c>
    </row>
    <row r="216" spans="1:7" ht="15">
      <c r="A216" s="83" t="s">
        <v>2564</v>
      </c>
      <c r="B216" s="88">
        <v>3</v>
      </c>
      <c r="C216" s="110">
        <v>0.0015222394841533813</v>
      </c>
      <c r="D216" s="88" t="s">
        <v>2714</v>
      </c>
      <c r="E216" s="88" t="b">
        <v>0</v>
      </c>
      <c r="F216" s="88" t="b">
        <v>0</v>
      </c>
      <c r="G216" s="88" t="b">
        <v>0</v>
      </c>
    </row>
    <row r="217" spans="1:7" ht="15">
      <c r="A217" s="83" t="s">
        <v>2565</v>
      </c>
      <c r="B217" s="88">
        <v>3</v>
      </c>
      <c r="C217" s="110">
        <v>0.0015222394841533813</v>
      </c>
      <c r="D217" s="88" t="s">
        <v>2714</v>
      </c>
      <c r="E217" s="88" t="b">
        <v>0</v>
      </c>
      <c r="F217" s="88" t="b">
        <v>0</v>
      </c>
      <c r="G217" s="88" t="b">
        <v>0</v>
      </c>
    </row>
    <row r="218" spans="1:7" ht="15">
      <c r="A218" s="83" t="s">
        <v>2566</v>
      </c>
      <c r="B218" s="88">
        <v>2</v>
      </c>
      <c r="C218" s="110">
        <v>0.0011143972919833293</v>
      </c>
      <c r="D218" s="88" t="s">
        <v>2714</v>
      </c>
      <c r="E218" s="88" t="b">
        <v>0</v>
      </c>
      <c r="F218" s="88" t="b">
        <v>0</v>
      </c>
      <c r="G218" s="88" t="b">
        <v>0</v>
      </c>
    </row>
    <row r="219" spans="1:7" ht="15">
      <c r="A219" s="83" t="s">
        <v>2048</v>
      </c>
      <c r="B219" s="88">
        <v>2</v>
      </c>
      <c r="C219" s="110">
        <v>0.0012846149881461685</v>
      </c>
      <c r="D219" s="88" t="s">
        <v>2714</v>
      </c>
      <c r="E219" s="88" t="b">
        <v>0</v>
      </c>
      <c r="F219" s="88" t="b">
        <v>0</v>
      </c>
      <c r="G219" s="88" t="b">
        <v>0</v>
      </c>
    </row>
    <row r="220" spans="1:7" ht="15">
      <c r="A220" s="83" t="s">
        <v>2567</v>
      </c>
      <c r="B220" s="88">
        <v>2</v>
      </c>
      <c r="C220" s="110">
        <v>0.0011143972919833293</v>
      </c>
      <c r="D220" s="88" t="s">
        <v>2714</v>
      </c>
      <c r="E220" s="88" t="b">
        <v>0</v>
      </c>
      <c r="F220" s="88" t="b">
        <v>0</v>
      </c>
      <c r="G220" s="88" t="b">
        <v>0</v>
      </c>
    </row>
    <row r="221" spans="1:7" ht="15">
      <c r="A221" s="83" t="s">
        <v>2568</v>
      </c>
      <c r="B221" s="88">
        <v>2</v>
      </c>
      <c r="C221" s="110">
        <v>0.0011143972919833293</v>
      </c>
      <c r="D221" s="88" t="s">
        <v>2714</v>
      </c>
      <c r="E221" s="88" t="b">
        <v>1</v>
      </c>
      <c r="F221" s="88" t="b">
        <v>0</v>
      </c>
      <c r="G221" s="88" t="b">
        <v>0</v>
      </c>
    </row>
    <row r="222" spans="1:7" ht="15">
      <c r="A222" s="83" t="s">
        <v>2569</v>
      </c>
      <c r="B222" s="88">
        <v>2</v>
      </c>
      <c r="C222" s="110">
        <v>0.0011143972919833293</v>
      </c>
      <c r="D222" s="88" t="s">
        <v>2714</v>
      </c>
      <c r="E222" s="88" t="b">
        <v>0</v>
      </c>
      <c r="F222" s="88" t="b">
        <v>0</v>
      </c>
      <c r="G222" s="88" t="b">
        <v>0</v>
      </c>
    </row>
    <row r="223" spans="1:7" ht="15">
      <c r="A223" s="83" t="s">
        <v>2570</v>
      </c>
      <c r="B223" s="88">
        <v>2</v>
      </c>
      <c r="C223" s="110">
        <v>0.0011143972919833293</v>
      </c>
      <c r="D223" s="88" t="s">
        <v>2714</v>
      </c>
      <c r="E223" s="88" t="b">
        <v>0</v>
      </c>
      <c r="F223" s="88" t="b">
        <v>0</v>
      </c>
      <c r="G223" s="88" t="b">
        <v>0</v>
      </c>
    </row>
    <row r="224" spans="1:7" ht="15">
      <c r="A224" s="83" t="s">
        <v>2571</v>
      </c>
      <c r="B224" s="88">
        <v>2</v>
      </c>
      <c r="C224" s="110">
        <v>0.0011143972919833293</v>
      </c>
      <c r="D224" s="88" t="s">
        <v>2714</v>
      </c>
      <c r="E224" s="88" t="b">
        <v>0</v>
      </c>
      <c r="F224" s="88" t="b">
        <v>0</v>
      </c>
      <c r="G224" s="88" t="b">
        <v>0</v>
      </c>
    </row>
    <row r="225" spans="1:7" ht="15">
      <c r="A225" s="83" t="s">
        <v>2572</v>
      </c>
      <c r="B225" s="88">
        <v>2</v>
      </c>
      <c r="C225" s="110">
        <v>0.0011143972919833293</v>
      </c>
      <c r="D225" s="88" t="s">
        <v>2714</v>
      </c>
      <c r="E225" s="88" t="b">
        <v>0</v>
      </c>
      <c r="F225" s="88" t="b">
        <v>0</v>
      </c>
      <c r="G225" s="88" t="b">
        <v>0</v>
      </c>
    </row>
    <row r="226" spans="1:7" ht="15">
      <c r="A226" s="83" t="s">
        <v>2573</v>
      </c>
      <c r="B226" s="88">
        <v>2</v>
      </c>
      <c r="C226" s="110">
        <v>0.0011143972919833293</v>
      </c>
      <c r="D226" s="88" t="s">
        <v>2714</v>
      </c>
      <c r="E226" s="88" t="b">
        <v>0</v>
      </c>
      <c r="F226" s="88" t="b">
        <v>0</v>
      </c>
      <c r="G226" s="88" t="b">
        <v>0</v>
      </c>
    </row>
    <row r="227" spans="1:7" ht="15">
      <c r="A227" s="83" t="s">
        <v>2574</v>
      </c>
      <c r="B227" s="88">
        <v>2</v>
      </c>
      <c r="C227" s="110">
        <v>0.0011143972919833293</v>
      </c>
      <c r="D227" s="88" t="s">
        <v>2714</v>
      </c>
      <c r="E227" s="88" t="b">
        <v>0</v>
      </c>
      <c r="F227" s="88" t="b">
        <v>0</v>
      </c>
      <c r="G227" s="88" t="b">
        <v>0</v>
      </c>
    </row>
    <row r="228" spans="1:7" ht="15">
      <c r="A228" s="83" t="s">
        <v>2575</v>
      </c>
      <c r="B228" s="88">
        <v>2</v>
      </c>
      <c r="C228" s="110">
        <v>0.0011143972919833293</v>
      </c>
      <c r="D228" s="88" t="s">
        <v>2714</v>
      </c>
      <c r="E228" s="88" t="b">
        <v>0</v>
      </c>
      <c r="F228" s="88" t="b">
        <v>0</v>
      </c>
      <c r="G228" s="88" t="b">
        <v>0</v>
      </c>
    </row>
    <row r="229" spans="1:7" ht="15">
      <c r="A229" s="83" t="s">
        <v>2576</v>
      </c>
      <c r="B229" s="88">
        <v>2</v>
      </c>
      <c r="C229" s="110">
        <v>0.0011143972919833293</v>
      </c>
      <c r="D229" s="88" t="s">
        <v>2714</v>
      </c>
      <c r="E229" s="88" t="b">
        <v>0</v>
      </c>
      <c r="F229" s="88" t="b">
        <v>0</v>
      </c>
      <c r="G229" s="88" t="b">
        <v>0</v>
      </c>
    </row>
    <row r="230" spans="1:7" ht="15">
      <c r="A230" s="83" t="s">
        <v>2577</v>
      </c>
      <c r="B230" s="88">
        <v>2</v>
      </c>
      <c r="C230" s="110">
        <v>0.0011143972919833293</v>
      </c>
      <c r="D230" s="88" t="s">
        <v>2714</v>
      </c>
      <c r="E230" s="88" t="b">
        <v>0</v>
      </c>
      <c r="F230" s="88" t="b">
        <v>0</v>
      </c>
      <c r="G230" s="88" t="b">
        <v>0</v>
      </c>
    </row>
    <row r="231" spans="1:7" ht="15">
      <c r="A231" s="83" t="s">
        <v>2578</v>
      </c>
      <c r="B231" s="88">
        <v>2</v>
      </c>
      <c r="C231" s="110">
        <v>0.0011143972919833293</v>
      </c>
      <c r="D231" s="88" t="s">
        <v>2714</v>
      </c>
      <c r="E231" s="88" t="b">
        <v>0</v>
      </c>
      <c r="F231" s="88" t="b">
        <v>0</v>
      </c>
      <c r="G231" s="88" t="b">
        <v>0</v>
      </c>
    </row>
    <row r="232" spans="1:7" ht="15">
      <c r="A232" s="83" t="s">
        <v>2579</v>
      </c>
      <c r="B232" s="88">
        <v>2</v>
      </c>
      <c r="C232" s="110">
        <v>0.0011143972919833293</v>
      </c>
      <c r="D232" s="88" t="s">
        <v>2714</v>
      </c>
      <c r="E232" s="88" t="b">
        <v>0</v>
      </c>
      <c r="F232" s="88" t="b">
        <v>0</v>
      </c>
      <c r="G232" s="88" t="b">
        <v>0</v>
      </c>
    </row>
    <row r="233" spans="1:7" ht="15">
      <c r="A233" s="83" t="s">
        <v>2580</v>
      </c>
      <c r="B233" s="88">
        <v>2</v>
      </c>
      <c r="C233" s="110">
        <v>0.0011143972919833293</v>
      </c>
      <c r="D233" s="88" t="s">
        <v>2714</v>
      </c>
      <c r="E233" s="88" t="b">
        <v>0</v>
      </c>
      <c r="F233" s="88" t="b">
        <v>0</v>
      </c>
      <c r="G233" s="88" t="b">
        <v>0</v>
      </c>
    </row>
    <row r="234" spans="1:7" ht="15">
      <c r="A234" s="83" t="s">
        <v>2581</v>
      </c>
      <c r="B234" s="88">
        <v>2</v>
      </c>
      <c r="C234" s="110">
        <v>0.0011143972919833293</v>
      </c>
      <c r="D234" s="88" t="s">
        <v>2714</v>
      </c>
      <c r="E234" s="88" t="b">
        <v>0</v>
      </c>
      <c r="F234" s="88" t="b">
        <v>0</v>
      </c>
      <c r="G234" s="88" t="b">
        <v>0</v>
      </c>
    </row>
    <row r="235" spans="1:7" ht="15">
      <c r="A235" s="83" t="s">
        <v>2582</v>
      </c>
      <c r="B235" s="88">
        <v>2</v>
      </c>
      <c r="C235" s="110">
        <v>0.0011143972919833293</v>
      </c>
      <c r="D235" s="88" t="s">
        <v>2714</v>
      </c>
      <c r="E235" s="88" t="b">
        <v>0</v>
      </c>
      <c r="F235" s="88" t="b">
        <v>0</v>
      </c>
      <c r="G235" s="88" t="b">
        <v>0</v>
      </c>
    </row>
    <row r="236" spans="1:7" ht="15">
      <c r="A236" s="83" t="s">
        <v>2583</v>
      </c>
      <c r="B236" s="88">
        <v>2</v>
      </c>
      <c r="C236" s="110">
        <v>0.0011143972919833293</v>
      </c>
      <c r="D236" s="88" t="s">
        <v>2714</v>
      </c>
      <c r="E236" s="88" t="b">
        <v>0</v>
      </c>
      <c r="F236" s="88" t="b">
        <v>0</v>
      </c>
      <c r="G236" s="88" t="b">
        <v>0</v>
      </c>
    </row>
    <row r="237" spans="1:7" ht="15">
      <c r="A237" s="83" t="s">
        <v>2584</v>
      </c>
      <c r="B237" s="88">
        <v>2</v>
      </c>
      <c r="C237" s="110">
        <v>0.0011143972919833293</v>
      </c>
      <c r="D237" s="88" t="s">
        <v>2714</v>
      </c>
      <c r="E237" s="88" t="b">
        <v>0</v>
      </c>
      <c r="F237" s="88" t="b">
        <v>0</v>
      </c>
      <c r="G237" s="88" t="b">
        <v>0</v>
      </c>
    </row>
    <row r="238" spans="1:7" ht="15">
      <c r="A238" s="83" t="s">
        <v>2585</v>
      </c>
      <c r="B238" s="88">
        <v>2</v>
      </c>
      <c r="C238" s="110">
        <v>0.0011143972919833293</v>
      </c>
      <c r="D238" s="88" t="s">
        <v>2714</v>
      </c>
      <c r="E238" s="88" t="b">
        <v>0</v>
      </c>
      <c r="F238" s="88" t="b">
        <v>0</v>
      </c>
      <c r="G238" s="88" t="b">
        <v>0</v>
      </c>
    </row>
    <row r="239" spans="1:7" ht="15">
      <c r="A239" s="83" t="s">
        <v>2586</v>
      </c>
      <c r="B239" s="88">
        <v>2</v>
      </c>
      <c r="C239" s="110">
        <v>0.0011143972919833293</v>
      </c>
      <c r="D239" s="88" t="s">
        <v>2714</v>
      </c>
      <c r="E239" s="88" t="b">
        <v>0</v>
      </c>
      <c r="F239" s="88" t="b">
        <v>0</v>
      </c>
      <c r="G239" s="88" t="b">
        <v>0</v>
      </c>
    </row>
    <row r="240" spans="1:7" ht="15">
      <c r="A240" s="83" t="s">
        <v>2587</v>
      </c>
      <c r="B240" s="88">
        <v>2</v>
      </c>
      <c r="C240" s="110">
        <v>0.0011143972919833293</v>
      </c>
      <c r="D240" s="88" t="s">
        <v>2714</v>
      </c>
      <c r="E240" s="88" t="b">
        <v>0</v>
      </c>
      <c r="F240" s="88" t="b">
        <v>0</v>
      </c>
      <c r="G240" s="88" t="b">
        <v>0</v>
      </c>
    </row>
    <row r="241" spans="1:7" ht="15">
      <c r="A241" s="83" t="s">
        <v>2588</v>
      </c>
      <c r="B241" s="88">
        <v>2</v>
      </c>
      <c r="C241" s="110">
        <v>0.0011143972919833293</v>
      </c>
      <c r="D241" s="88" t="s">
        <v>2714</v>
      </c>
      <c r="E241" s="88" t="b">
        <v>0</v>
      </c>
      <c r="F241" s="88" t="b">
        <v>0</v>
      </c>
      <c r="G241" s="88" t="b">
        <v>0</v>
      </c>
    </row>
    <row r="242" spans="1:7" ht="15">
      <c r="A242" s="83" t="s">
        <v>402</v>
      </c>
      <c r="B242" s="88">
        <v>2</v>
      </c>
      <c r="C242" s="110">
        <v>0.0011143972919833293</v>
      </c>
      <c r="D242" s="88" t="s">
        <v>2714</v>
      </c>
      <c r="E242" s="88" t="b">
        <v>0</v>
      </c>
      <c r="F242" s="88" t="b">
        <v>0</v>
      </c>
      <c r="G242" s="88" t="b">
        <v>0</v>
      </c>
    </row>
    <row r="243" spans="1:7" ht="15">
      <c r="A243" s="83" t="s">
        <v>2589</v>
      </c>
      <c r="B243" s="88">
        <v>2</v>
      </c>
      <c r="C243" s="110">
        <v>0.0011143972919833293</v>
      </c>
      <c r="D243" s="88" t="s">
        <v>2714</v>
      </c>
      <c r="E243" s="88" t="b">
        <v>0</v>
      </c>
      <c r="F243" s="88" t="b">
        <v>0</v>
      </c>
      <c r="G243" s="88" t="b">
        <v>0</v>
      </c>
    </row>
    <row r="244" spans="1:7" ht="15">
      <c r="A244" s="83" t="s">
        <v>2590</v>
      </c>
      <c r="B244" s="88">
        <v>2</v>
      </c>
      <c r="C244" s="110">
        <v>0.0011143972919833293</v>
      </c>
      <c r="D244" s="88" t="s">
        <v>2714</v>
      </c>
      <c r="E244" s="88" t="b">
        <v>0</v>
      </c>
      <c r="F244" s="88" t="b">
        <v>0</v>
      </c>
      <c r="G244" s="88" t="b">
        <v>0</v>
      </c>
    </row>
    <row r="245" spans="1:7" ht="15">
      <c r="A245" s="83" t="s">
        <v>2591</v>
      </c>
      <c r="B245" s="88">
        <v>2</v>
      </c>
      <c r="C245" s="110">
        <v>0.0011143972919833293</v>
      </c>
      <c r="D245" s="88" t="s">
        <v>2714</v>
      </c>
      <c r="E245" s="88" t="b">
        <v>0</v>
      </c>
      <c r="F245" s="88" t="b">
        <v>0</v>
      </c>
      <c r="G245" s="88" t="b">
        <v>0</v>
      </c>
    </row>
    <row r="246" spans="1:7" ht="15">
      <c r="A246" s="83" t="s">
        <v>2592</v>
      </c>
      <c r="B246" s="88">
        <v>2</v>
      </c>
      <c r="C246" s="110">
        <v>0.0011143972919833293</v>
      </c>
      <c r="D246" s="88" t="s">
        <v>2714</v>
      </c>
      <c r="E246" s="88" t="b">
        <v>0</v>
      </c>
      <c r="F246" s="88" t="b">
        <v>0</v>
      </c>
      <c r="G246" s="88" t="b">
        <v>0</v>
      </c>
    </row>
    <row r="247" spans="1:7" ht="15">
      <c r="A247" s="83" t="s">
        <v>2593</v>
      </c>
      <c r="B247" s="88">
        <v>2</v>
      </c>
      <c r="C247" s="110">
        <v>0.0011143972919833293</v>
      </c>
      <c r="D247" s="88" t="s">
        <v>2714</v>
      </c>
      <c r="E247" s="88" t="b">
        <v>0</v>
      </c>
      <c r="F247" s="88" t="b">
        <v>0</v>
      </c>
      <c r="G247" s="88" t="b">
        <v>0</v>
      </c>
    </row>
    <row r="248" spans="1:7" ht="15">
      <c r="A248" s="83" t="s">
        <v>2594</v>
      </c>
      <c r="B248" s="88">
        <v>2</v>
      </c>
      <c r="C248" s="110">
        <v>0.0011143972919833293</v>
      </c>
      <c r="D248" s="88" t="s">
        <v>2714</v>
      </c>
      <c r="E248" s="88" t="b">
        <v>0</v>
      </c>
      <c r="F248" s="88" t="b">
        <v>0</v>
      </c>
      <c r="G248" s="88" t="b">
        <v>0</v>
      </c>
    </row>
    <row r="249" spans="1:7" ht="15">
      <c r="A249" s="83" t="s">
        <v>2595</v>
      </c>
      <c r="B249" s="88">
        <v>2</v>
      </c>
      <c r="C249" s="110">
        <v>0.0011143972919833293</v>
      </c>
      <c r="D249" s="88" t="s">
        <v>2714</v>
      </c>
      <c r="E249" s="88" t="b">
        <v>0</v>
      </c>
      <c r="F249" s="88" t="b">
        <v>0</v>
      </c>
      <c r="G249" s="88" t="b">
        <v>0</v>
      </c>
    </row>
    <row r="250" spans="1:7" ht="15">
      <c r="A250" s="83" t="s">
        <v>2596</v>
      </c>
      <c r="B250" s="88">
        <v>2</v>
      </c>
      <c r="C250" s="110">
        <v>0.0011143972919833293</v>
      </c>
      <c r="D250" s="88" t="s">
        <v>2714</v>
      </c>
      <c r="E250" s="88" t="b">
        <v>0</v>
      </c>
      <c r="F250" s="88" t="b">
        <v>0</v>
      </c>
      <c r="G250" s="88" t="b">
        <v>0</v>
      </c>
    </row>
    <row r="251" spans="1:7" ht="15">
      <c r="A251" s="83" t="s">
        <v>2597</v>
      </c>
      <c r="B251" s="88">
        <v>2</v>
      </c>
      <c r="C251" s="110">
        <v>0.0011143972919833293</v>
      </c>
      <c r="D251" s="88" t="s">
        <v>2714</v>
      </c>
      <c r="E251" s="88" t="b">
        <v>0</v>
      </c>
      <c r="F251" s="88" t="b">
        <v>0</v>
      </c>
      <c r="G251" s="88" t="b">
        <v>0</v>
      </c>
    </row>
    <row r="252" spans="1:7" ht="15">
      <c r="A252" s="83" t="s">
        <v>2598</v>
      </c>
      <c r="B252" s="88">
        <v>2</v>
      </c>
      <c r="C252" s="110">
        <v>0.0011143972919833293</v>
      </c>
      <c r="D252" s="88" t="s">
        <v>2714</v>
      </c>
      <c r="E252" s="88" t="b">
        <v>0</v>
      </c>
      <c r="F252" s="88" t="b">
        <v>0</v>
      </c>
      <c r="G252" s="88" t="b">
        <v>0</v>
      </c>
    </row>
    <row r="253" spans="1:7" ht="15">
      <c r="A253" s="83" t="s">
        <v>351</v>
      </c>
      <c r="B253" s="88">
        <v>2</v>
      </c>
      <c r="C253" s="110">
        <v>0.0011143972919833293</v>
      </c>
      <c r="D253" s="88" t="s">
        <v>2714</v>
      </c>
      <c r="E253" s="88" t="b">
        <v>0</v>
      </c>
      <c r="F253" s="88" t="b">
        <v>0</v>
      </c>
      <c r="G253" s="88" t="b">
        <v>0</v>
      </c>
    </row>
    <row r="254" spans="1:7" ht="15">
      <c r="A254" s="83" t="s">
        <v>349</v>
      </c>
      <c r="B254" s="88">
        <v>2</v>
      </c>
      <c r="C254" s="110">
        <v>0.0011143972919833293</v>
      </c>
      <c r="D254" s="88" t="s">
        <v>2714</v>
      </c>
      <c r="E254" s="88" t="b">
        <v>0</v>
      </c>
      <c r="F254" s="88" t="b">
        <v>0</v>
      </c>
      <c r="G254" s="88" t="b">
        <v>0</v>
      </c>
    </row>
    <row r="255" spans="1:7" ht="15">
      <c r="A255" s="83" t="s">
        <v>2599</v>
      </c>
      <c r="B255" s="88">
        <v>2</v>
      </c>
      <c r="C255" s="110">
        <v>0.0011143972919833293</v>
      </c>
      <c r="D255" s="88" t="s">
        <v>2714</v>
      </c>
      <c r="E255" s="88" t="b">
        <v>1</v>
      </c>
      <c r="F255" s="88" t="b">
        <v>0</v>
      </c>
      <c r="G255" s="88" t="b">
        <v>0</v>
      </c>
    </row>
    <row r="256" spans="1:7" ht="15">
      <c r="A256" s="83" t="s">
        <v>2600</v>
      </c>
      <c r="B256" s="88">
        <v>2</v>
      </c>
      <c r="C256" s="110">
        <v>0.0011143972919833293</v>
      </c>
      <c r="D256" s="88" t="s">
        <v>2714</v>
      </c>
      <c r="E256" s="88" t="b">
        <v>0</v>
      </c>
      <c r="F256" s="88" t="b">
        <v>0</v>
      </c>
      <c r="G256" s="88" t="b">
        <v>0</v>
      </c>
    </row>
    <row r="257" spans="1:7" ht="15">
      <c r="A257" s="83" t="s">
        <v>342</v>
      </c>
      <c r="B257" s="88">
        <v>2</v>
      </c>
      <c r="C257" s="110">
        <v>0.0011143972919833293</v>
      </c>
      <c r="D257" s="88" t="s">
        <v>2714</v>
      </c>
      <c r="E257" s="88" t="b">
        <v>0</v>
      </c>
      <c r="F257" s="88" t="b">
        <v>0</v>
      </c>
      <c r="G257" s="88" t="b">
        <v>0</v>
      </c>
    </row>
    <row r="258" spans="1:7" ht="15">
      <c r="A258" s="83" t="s">
        <v>2601</v>
      </c>
      <c r="B258" s="88">
        <v>2</v>
      </c>
      <c r="C258" s="110">
        <v>0.0011143972919833293</v>
      </c>
      <c r="D258" s="88" t="s">
        <v>2714</v>
      </c>
      <c r="E258" s="88" t="b">
        <v>0</v>
      </c>
      <c r="F258" s="88" t="b">
        <v>0</v>
      </c>
      <c r="G258" s="88" t="b">
        <v>0</v>
      </c>
    </row>
    <row r="259" spans="1:7" ht="15">
      <c r="A259" s="83" t="s">
        <v>2602</v>
      </c>
      <c r="B259" s="88">
        <v>2</v>
      </c>
      <c r="C259" s="110">
        <v>0.0011143972919833293</v>
      </c>
      <c r="D259" s="88" t="s">
        <v>2714</v>
      </c>
      <c r="E259" s="88" t="b">
        <v>0</v>
      </c>
      <c r="F259" s="88" t="b">
        <v>0</v>
      </c>
      <c r="G259" s="88" t="b">
        <v>0</v>
      </c>
    </row>
    <row r="260" spans="1:7" ht="15">
      <c r="A260" s="83" t="s">
        <v>401</v>
      </c>
      <c r="B260" s="88">
        <v>2</v>
      </c>
      <c r="C260" s="110">
        <v>0.0011143972919833293</v>
      </c>
      <c r="D260" s="88" t="s">
        <v>2714</v>
      </c>
      <c r="E260" s="88" t="b">
        <v>0</v>
      </c>
      <c r="F260" s="88" t="b">
        <v>0</v>
      </c>
      <c r="G260" s="88" t="b">
        <v>0</v>
      </c>
    </row>
    <row r="261" spans="1:7" ht="15">
      <c r="A261" s="83" t="s">
        <v>2603</v>
      </c>
      <c r="B261" s="88">
        <v>2</v>
      </c>
      <c r="C261" s="110">
        <v>0.0011143972919833293</v>
      </c>
      <c r="D261" s="88" t="s">
        <v>2714</v>
      </c>
      <c r="E261" s="88" t="b">
        <v>0</v>
      </c>
      <c r="F261" s="88" t="b">
        <v>0</v>
      </c>
      <c r="G261" s="88" t="b">
        <v>0</v>
      </c>
    </row>
    <row r="262" spans="1:7" ht="15">
      <c r="A262" s="83" t="s">
        <v>2604</v>
      </c>
      <c r="B262" s="88">
        <v>2</v>
      </c>
      <c r="C262" s="110">
        <v>0.0011143972919833293</v>
      </c>
      <c r="D262" s="88" t="s">
        <v>2714</v>
      </c>
      <c r="E262" s="88" t="b">
        <v>0</v>
      </c>
      <c r="F262" s="88" t="b">
        <v>0</v>
      </c>
      <c r="G262" s="88" t="b">
        <v>0</v>
      </c>
    </row>
    <row r="263" spans="1:7" ht="15">
      <c r="A263" s="83" t="s">
        <v>2605</v>
      </c>
      <c r="B263" s="88">
        <v>2</v>
      </c>
      <c r="C263" s="110">
        <v>0.0011143972919833293</v>
      </c>
      <c r="D263" s="88" t="s">
        <v>2714</v>
      </c>
      <c r="E263" s="88" t="b">
        <v>0</v>
      </c>
      <c r="F263" s="88" t="b">
        <v>0</v>
      </c>
      <c r="G263" s="88" t="b">
        <v>0</v>
      </c>
    </row>
    <row r="264" spans="1:7" ht="15">
      <c r="A264" s="83" t="s">
        <v>2606</v>
      </c>
      <c r="B264" s="88">
        <v>2</v>
      </c>
      <c r="C264" s="110">
        <v>0.0011143972919833293</v>
      </c>
      <c r="D264" s="88" t="s">
        <v>2714</v>
      </c>
      <c r="E264" s="88" t="b">
        <v>0</v>
      </c>
      <c r="F264" s="88" t="b">
        <v>0</v>
      </c>
      <c r="G264" s="88" t="b">
        <v>0</v>
      </c>
    </row>
    <row r="265" spans="1:7" ht="15">
      <c r="A265" s="83" t="s">
        <v>2607</v>
      </c>
      <c r="B265" s="88">
        <v>2</v>
      </c>
      <c r="C265" s="110">
        <v>0.0011143972919833293</v>
      </c>
      <c r="D265" s="88" t="s">
        <v>2714</v>
      </c>
      <c r="E265" s="88" t="b">
        <v>0</v>
      </c>
      <c r="F265" s="88" t="b">
        <v>0</v>
      </c>
      <c r="G265" s="88" t="b">
        <v>0</v>
      </c>
    </row>
    <row r="266" spans="1:7" ht="15">
      <c r="A266" s="83" t="s">
        <v>2608</v>
      </c>
      <c r="B266" s="88">
        <v>2</v>
      </c>
      <c r="C266" s="110">
        <v>0.0011143972919833293</v>
      </c>
      <c r="D266" s="88" t="s">
        <v>2714</v>
      </c>
      <c r="E266" s="88" t="b">
        <v>0</v>
      </c>
      <c r="F266" s="88" t="b">
        <v>0</v>
      </c>
      <c r="G266" s="88" t="b">
        <v>0</v>
      </c>
    </row>
    <row r="267" spans="1:7" ht="15">
      <c r="A267" s="83" t="s">
        <v>2609</v>
      </c>
      <c r="B267" s="88">
        <v>2</v>
      </c>
      <c r="C267" s="110">
        <v>0.0011143972919833293</v>
      </c>
      <c r="D267" s="88" t="s">
        <v>2714</v>
      </c>
      <c r="E267" s="88" t="b">
        <v>0</v>
      </c>
      <c r="F267" s="88" t="b">
        <v>0</v>
      </c>
      <c r="G267" s="88" t="b">
        <v>0</v>
      </c>
    </row>
    <row r="268" spans="1:7" ht="15">
      <c r="A268" s="83" t="s">
        <v>1935</v>
      </c>
      <c r="B268" s="88">
        <v>2</v>
      </c>
      <c r="C268" s="110">
        <v>0.0011143972919833293</v>
      </c>
      <c r="D268" s="88" t="s">
        <v>2714</v>
      </c>
      <c r="E268" s="88" t="b">
        <v>0</v>
      </c>
      <c r="F268" s="88" t="b">
        <v>0</v>
      </c>
      <c r="G268" s="88" t="b">
        <v>0</v>
      </c>
    </row>
    <row r="269" spans="1:7" ht="15">
      <c r="A269" s="83" t="s">
        <v>2610</v>
      </c>
      <c r="B269" s="88">
        <v>2</v>
      </c>
      <c r="C269" s="110">
        <v>0.0011143972919833293</v>
      </c>
      <c r="D269" s="88" t="s">
        <v>2714</v>
      </c>
      <c r="E269" s="88" t="b">
        <v>0</v>
      </c>
      <c r="F269" s="88" t="b">
        <v>0</v>
      </c>
      <c r="G269" s="88" t="b">
        <v>0</v>
      </c>
    </row>
    <row r="270" spans="1:7" ht="15">
      <c r="A270" s="83" t="s">
        <v>2611</v>
      </c>
      <c r="B270" s="88">
        <v>2</v>
      </c>
      <c r="C270" s="110">
        <v>0.0011143972919833293</v>
      </c>
      <c r="D270" s="88" t="s">
        <v>2714</v>
      </c>
      <c r="E270" s="88" t="b">
        <v>0</v>
      </c>
      <c r="F270" s="88" t="b">
        <v>0</v>
      </c>
      <c r="G270" s="88" t="b">
        <v>0</v>
      </c>
    </row>
    <row r="271" spans="1:7" ht="15">
      <c r="A271" s="83" t="s">
        <v>2612</v>
      </c>
      <c r="B271" s="88">
        <v>2</v>
      </c>
      <c r="C271" s="110">
        <v>0.0012846149881461685</v>
      </c>
      <c r="D271" s="88" t="s">
        <v>2714</v>
      </c>
      <c r="E271" s="88" t="b">
        <v>0</v>
      </c>
      <c r="F271" s="88" t="b">
        <v>0</v>
      </c>
      <c r="G271" s="88" t="b">
        <v>0</v>
      </c>
    </row>
    <row r="272" spans="1:7" ht="15">
      <c r="A272" s="83" t="s">
        <v>2613</v>
      </c>
      <c r="B272" s="88">
        <v>2</v>
      </c>
      <c r="C272" s="110">
        <v>0.0011143972919833293</v>
      </c>
      <c r="D272" s="88" t="s">
        <v>2714</v>
      </c>
      <c r="E272" s="88" t="b">
        <v>0</v>
      </c>
      <c r="F272" s="88" t="b">
        <v>0</v>
      </c>
      <c r="G272" s="88" t="b">
        <v>0</v>
      </c>
    </row>
    <row r="273" spans="1:7" ht="15">
      <c r="A273" s="83" t="s">
        <v>2614</v>
      </c>
      <c r="B273" s="88">
        <v>2</v>
      </c>
      <c r="C273" s="110">
        <v>0.0011143972919833293</v>
      </c>
      <c r="D273" s="88" t="s">
        <v>2714</v>
      </c>
      <c r="E273" s="88" t="b">
        <v>0</v>
      </c>
      <c r="F273" s="88" t="b">
        <v>0</v>
      </c>
      <c r="G273" s="88" t="b">
        <v>0</v>
      </c>
    </row>
    <row r="274" spans="1:7" ht="15">
      <c r="A274" s="83" t="s">
        <v>2615</v>
      </c>
      <c r="B274" s="88">
        <v>2</v>
      </c>
      <c r="C274" s="110">
        <v>0.0012846149881461685</v>
      </c>
      <c r="D274" s="88" t="s">
        <v>2714</v>
      </c>
      <c r="E274" s="88" t="b">
        <v>0</v>
      </c>
      <c r="F274" s="88" t="b">
        <v>0</v>
      </c>
      <c r="G274" s="88" t="b">
        <v>0</v>
      </c>
    </row>
    <row r="275" spans="1:7" ht="15">
      <c r="A275" s="83" t="s">
        <v>2616</v>
      </c>
      <c r="B275" s="88">
        <v>2</v>
      </c>
      <c r="C275" s="110">
        <v>0.0011143972919833293</v>
      </c>
      <c r="D275" s="88" t="s">
        <v>2714</v>
      </c>
      <c r="E275" s="88" t="b">
        <v>0</v>
      </c>
      <c r="F275" s="88" t="b">
        <v>0</v>
      </c>
      <c r="G275" s="88" t="b">
        <v>0</v>
      </c>
    </row>
    <row r="276" spans="1:7" ht="15">
      <c r="A276" s="83" t="s">
        <v>2617</v>
      </c>
      <c r="B276" s="88">
        <v>2</v>
      </c>
      <c r="C276" s="110">
        <v>0.0011143972919833293</v>
      </c>
      <c r="D276" s="88" t="s">
        <v>2714</v>
      </c>
      <c r="E276" s="88" t="b">
        <v>0</v>
      </c>
      <c r="F276" s="88" t="b">
        <v>0</v>
      </c>
      <c r="G276" s="88" t="b">
        <v>0</v>
      </c>
    </row>
    <row r="277" spans="1:7" ht="15">
      <c r="A277" s="83" t="s">
        <v>394</v>
      </c>
      <c r="B277" s="88">
        <v>2</v>
      </c>
      <c r="C277" s="110">
        <v>0.0011143972919833293</v>
      </c>
      <c r="D277" s="88" t="s">
        <v>2714</v>
      </c>
      <c r="E277" s="88" t="b">
        <v>0</v>
      </c>
      <c r="F277" s="88" t="b">
        <v>0</v>
      </c>
      <c r="G277" s="88" t="b">
        <v>0</v>
      </c>
    </row>
    <row r="278" spans="1:7" ht="15">
      <c r="A278" s="83" t="s">
        <v>2618</v>
      </c>
      <c r="B278" s="88">
        <v>2</v>
      </c>
      <c r="C278" s="110">
        <v>0.0011143972919833293</v>
      </c>
      <c r="D278" s="88" t="s">
        <v>2714</v>
      </c>
      <c r="E278" s="88" t="b">
        <v>0</v>
      </c>
      <c r="F278" s="88" t="b">
        <v>0</v>
      </c>
      <c r="G278" s="88" t="b">
        <v>0</v>
      </c>
    </row>
    <row r="279" spans="1:7" ht="15">
      <c r="A279" s="83" t="s">
        <v>2619</v>
      </c>
      <c r="B279" s="88">
        <v>2</v>
      </c>
      <c r="C279" s="110">
        <v>0.0011143972919833293</v>
      </c>
      <c r="D279" s="88" t="s">
        <v>2714</v>
      </c>
      <c r="E279" s="88" t="b">
        <v>0</v>
      </c>
      <c r="F279" s="88" t="b">
        <v>0</v>
      </c>
      <c r="G279" s="88" t="b">
        <v>0</v>
      </c>
    </row>
    <row r="280" spans="1:7" ht="15">
      <c r="A280" s="83" t="s">
        <v>2620</v>
      </c>
      <c r="B280" s="88">
        <v>2</v>
      </c>
      <c r="C280" s="110">
        <v>0.0011143972919833293</v>
      </c>
      <c r="D280" s="88" t="s">
        <v>2714</v>
      </c>
      <c r="E280" s="88" t="b">
        <v>1</v>
      </c>
      <c r="F280" s="88" t="b">
        <v>0</v>
      </c>
      <c r="G280" s="88" t="b">
        <v>0</v>
      </c>
    </row>
    <row r="281" spans="1:7" ht="15">
      <c r="A281" s="83" t="s">
        <v>2621</v>
      </c>
      <c r="B281" s="88">
        <v>2</v>
      </c>
      <c r="C281" s="110">
        <v>0.0011143972919833293</v>
      </c>
      <c r="D281" s="88" t="s">
        <v>2714</v>
      </c>
      <c r="E281" s="88" t="b">
        <v>0</v>
      </c>
      <c r="F281" s="88" t="b">
        <v>0</v>
      </c>
      <c r="G281" s="88" t="b">
        <v>0</v>
      </c>
    </row>
    <row r="282" spans="1:7" ht="15">
      <c r="A282" s="83" t="s">
        <v>2622</v>
      </c>
      <c r="B282" s="88">
        <v>2</v>
      </c>
      <c r="C282" s="110">
        <v>0.0011143972919833293</v>
      </c>
      <c r="D282" s="88" t="s">
        <v>2714</v>
      </c>
      <c r="E282" s="88" t="b">
        <v>0</v>
      </c>
      <c r="F282" s="88" t="b">
        <v>0</v>
      </c>
      <c r="G282" s="88" t="b">
        <v>0</v>
      </c>
    </row>
    <row r="283" spans="1:7" ht="15">
      <c r="A283" s="83" t="s">
        <v>2623</v>
      </c>
      <c r="B283" s="88">
        <v>2</v>
      </c>
      <c r="C283" s="110">
        <v>0.0011143972919833293</v>
      </c>
      <c r="D283" s="88" t="s">
        <v>2714</v>
      </c>
      <c r="E283" s="88" t="b">
        <v>0</v>
      </c>
      <c r="F283" s="88" t="b">
        <v>0</v>
      </c>
      <c r="G283" s="88" t="b">
        <v>0</v>
      </c>
    </row>
    <row r="284" spans="1:7" ht="15">
      <c r="A284" s="83" t="s">
        <v>2624</v>
      </c>
      <c r="B284" s="88">
        <v>2</v>
      </c>
      <c r="C284" s="110">
        <v>0.0011143972919833293</v>
      </c>
      <c r="D284" s="88" t="s">
        <v>2714</v>
      </c>
      <c r="E284" s="88" t="b">
        <v>0</v>
      </c>
      <c r="F284" s="88" t="b">
        <v>0</v>
      </c>
      <c r="G284" s="88" t="b">
        <v>0</v>
      </c>
    </row>
    <row r="285" spans="1:7" ht="15">
      <c r="A285" s="83" t="s">
        <v>2625</v>
      </c>
      <c r="B285" s="88">
        <v>2</v>
      </c>
      <c r="C285" s="110">
        <v>0.0011143972919833293</v>
      </c>
      <c r="D285" s="88" t="s">
        <v>2714</v>
      </c>
      <c r="E285" s="88" t="b">
        <v>0</v>
      </c>
      <c r="F285" s="88" t="b">
        <v>0</v>
      </c>
      <c r="G285" s="88" t="b">
        <v>0</v>
      </c>
    </row>
    <row r="286" spans="1:7" ht="15">
      <c r="A286" s="83" t="s">
        <v>2626</v>
      </c>
      <c r="B286" s="88">
        <v>2</v>
      </c>
      <c r="C286" s="110">
        <v>0.0011143972919833293</v>
      </c>
      <c r="D286" s="88" t="s">
        <v>2714</v>
      </c>
      <c r="E286" s="88" t="b">
        <v>0</v>
      </c>
      <c r="F286" s="88" t="b">
        <v>0</v>
      </c>
      <c r="G286" s="88" t="b">
        <v>0</v>
      </c>
    </row>
    <row r="287" spans="1:7" ht="15">
      <c r="A287" s="83" t="s">
        <v>2627</v>
      </c>
      <c r="B287" s="88">
        <v>2</v>
      </c>
      <c r="C287" s="110">
        <v>0.0011143972919833293</v>
      </c>
      <c r="D287" s="88" t="s">
        <v>2714</v>
      </c>
      <c r="E287" s="88" t="b">
        <v>0</v>
      </c>
      <c r="F287" s="88" t="b">
        <v>0</v>
      </c>
      <c r="G287" s="88" t="b">
        <v>0</v>
      </c>
    </row>
    <row r="288" spans="1:7" ht="15">
      <c r="A288" s="83" t="s">
        <v>2628</v>
      </c>
      <c r="B288" s="88">
        <v>2</v>
      </c>
      <c r="C288" s="110">
        <v>0.0011143972919833293</v>
      </c>
      <c r="D288" s="88" t="s">
        <v>2714</v>
      </c>
      <c r="E288" s="88" t="b">
        <v>0</v>
      </c>
      <c r="F288" s="88" t="b">
        <v>0</v>
      </c>
      <c r="G288" s="88" t="b">
        <v>0</v>
      </c>
    </row>
    <row r="289" spans="1:7" ht="15">
      <c r="A289" s="83" t="s">
        <v>2629</v>
      </c>
      <c r="B289" s="88">
        <v>2</v>
      </c>
      <c r="C289" s="110">
        <v>0.0011143972919833293</v>
      </c>
      <c r="D289" s="88" t="s">
        <v>2714</v>
      </c>
      <c r="E289" s="88" t="b">
        <v>0</v>
      </c>
      <c r="F289" s="88" t="b">
        <v>0</v>
      </c>
      <c r="G289" s="88" t="b">
        <v>0</v>
      </c>
    </row>
    <row r="290" spans="1:7" ht="15">
      <c r="A290" s="83" t="s">
        <v>2630</v>
      </c>
      <c r="B290" s="88">
        <v>2</v>
      </c>
      <c r="C290" s="110">
        <v>0.0011143972919833293</v>
      </c>
      <c r="D290" s="88" t="s">
        <v>2714</v>
      </c>
      <c r="E290" s="88" t="b">
        <v>0</v>
      </c>
      <c r="F290" s="88" t="b">
        <v>0</v>
      </c>
      <c r="G290" s="88" t="b">
        <v>0</v>
      </c>
    </row>
    <row r="291" spans="1:7" ht="15">
      <c r="A291" s="83" t="s">
        <v>2631</v>
      </c>
      <c r="B291" s="88">
        <v>2</v>
      </c>
      <c r="C291" s="110">
        <v>0.0011143972919833293</v>
      </c>
      <c r="D291" s="88" t="s">
        <v>2714</v>
      </c>
      <c r="E291" s="88" t="b">
        <v>0</v>
      </c>
      <c r="F291" s="88" t="b">
        <v>0</v>
      </c>
      <c r="G291" s="88" t="b">
        <v>0</v>
      </c>
    </row>
    <row r="292" spans="1:7" ht="15">
      <c r="A292" s="83" t="s">
        <v>2632</v>
      </c>
      <c r="B292" s="88">
        <v>2</v>
      </c>
      <c r="C292" s="110">
        <v>0.0011143972919833293</v>
      </c>
      <c r="D292" s="88" t="s">
        <v>2714</v>
      </c>
      <c r="E292" s="88" t="b">
        <v>1</v>
      </c>
      <c r="F292" s="88" t="b">
        <v>0</v>
      </c>
      <c r="G292" s="88" t="b">
        <v>0</v>
      </c>
    </row>
    <row r="293" spans="1:7" ht="15">
      <c r="A293" s="83" t="s">
        <v>2633</v>
      </c>
      <c r="B293" s="88">
        <v>2</v>
      </c>
      <c r="C293" s="110">
        <v>0.0011143972919833293</v>
      </c>
      <c r="D293" s="88" t="s">
        <v>2714</v>
      </c>
      <c r="E293" s="88" t="b">
        <v>0</v>
      </c>
      <c r="F293" s="88" t="b">
        <v>0</v>
      </c>
      <c r="G293" s="88" t="b">
        <v>0</v>
      </c>
    </row>
    <row r="294" spans="1:7" ht="15">
      <c r="A294" s="83" t="s">
        <v>2634</v>
      </c>
      <c r="B294" s="88">
        <v>2</v>
      </c>
      <c r="C294" s="110">
        <v>0.0011143972919833293</v>
      </c>
      <c r="D294" s="88" t="s">
        <v>2714</v>
      </c>
      <c r="E294" s="88" t="b">
        <v>0</v>
      </c>
      <c r="F294" s="88" t="b">
        <v>0</v>
      </c>
      <c r="G294" s="88" t="b">
        <v>0</v>
      </c>
    </row>
    <row r="295" spans="1:7" ht="15">
      <c r="A295" s="83" t="s">
        <v>2635</v>
      </c>
      <c r="B295" s="88">
        <v>2</v>
      </c>
      <c r="C295" s="110">
        <v>0.0011143972919833293</v>
      </c>
      <c r="D295" s="88" t="s">
        <v>2714</v>
      </c>
      <c r="E295" s="88" t="b">
        <v>0</v>
      </c>
      <c r="F295" s="88" t="b">
        <v>0</v>
      </c>
      <c r="G295" s="88" t="b">
        <v>0</v>
      </c>
    </row>
    <row r="296" spans="1:7" ht="15">
      <c r="A296" s="83" t="s">
        <v>2636</v>
      </c>
      <c r="B296" s="88">
        <v>2</v>
      </c>
      <c r="C296" s="110">
        <v>0.0011143972919833293</v>
      </c>
      <c r="D296" s="88" t="s">
        <v>2714</v>
      </c>
      <c r="E296" s="88" t="b">
        <v>0</v>
      </c>
      <c r="F296" s="88" t="b">
        <v>0</v>
      </c>
      <c r="G296" s="88" t="b">
        <v>0</v>
      </c>
    </row>
    <row r="297" spans="1:7" ht="15">
      <c r="A297" s="83" t="s">
        <v>2637</v>
      </c>
      <c r="B297" s="88">
        <v>2</v>
      </c>
      <c r="C297" s="110">
        <v>0.0011143972919833293</v>
      </c>
      <c r="D297" s="88" t="s">
        <v>2714</v>
      </c>
      <c r="E297" s="88" t="b">
        <v>0</v>
      </c>
      <c r="F297" s="88" t="b">
        <v>0</v>
      </c>
      <c r="G297" s="88" t="b">
        <v>0</v>
      </c>
    </row>
    <row r="298" spans="1:7" ht="15">
      <c r="A298" s="83" t="s">
        <v>2638</v>
      </c>
      <c r="B298" s="88">
        <v>2</v>
      </c>
      <c r="C298" s="110">
        <v>0.0011143972919833293</v>
      </c>
      <c r="D298" s="88" t="s">
        <v>2714</v>
      </c>
      <c r="E298" s="88" t="b">
        <v>0</v>
      </c>
      <c r="F298" s="88" t="b">
        <v>0</v>
      </c>
      <c r="G298" s="88" t="b">
        <v>0</v>
      </c>
    </row>
    <row r="299" spans="1:7" ht="15">
      <c r="A299" s="83" t="s">
        <v>2639</v>
      </c>
      <c r="B299" s="88">
        <v>2</v>
      </c>
      <c r="C299" s="110">
        <v>0.0011143972919833293</v>
      </c>
      <c r="D299" s="88" t="s">
        <v>2714</v>
      </c>
      <c r="E299" s="88" t="b">
        <v>0</v>
      </c>
      <c r="F299" s="88" t="b">
        <v>0</v>
      </c>
      <c r="G299" s="88" t="b">
        <v>0</v>
      </c>
    </row>
    <row r="300" spans="1:7" ht="15">
      <c r="A300" s="83" t="s">
        <v>2640</v>
      </c>
      <c r="B300" s="88">
        <v>2</v>
      </c>
      <c r="C300" s="110">
        <v>0.0011143972919833293</v>
      </c>
      <c r="D300" s="88" t="s">
        <v>2714</v>
      </c>
      <c r="E300" s="88" t="b">
        <v>0</v>
      </c>
      <c r="F300" s="88" t="b">
        <v>0</v>
      </c>
      <c r="G300" s="88" t="b">
        <v>0</v>
      </c>
    </row>
    <row r="301" spans="1:7" ht="15">
      <c r="A301" s="83" t="s">
        <v>2641</v>
      </c>
      <c r="B301" s="88">
        <v>2</v>
      </c>
      <c r="C301" s="110">
        <v>0.0011143972919833293</v>
      </c>
      <c r="D301" s="88" t="s">
        <v>2714</v>
      </c>
      <c r="E301" s="88" t="b">
        <v>0</v>
      </c>
      <c r="F301" s="88" t="b">
        <v>0</v>
      </c>
      <c r="G301" s="88" t="b">
        <v>0</v>
      </c>
    </row>
    <row r="302" spans="1:7" ht="15">
      <c r="A302" s="83" t="s">
        <v>2642</v>
      </c>
      <c r="B302" s="88">
        <v>2</v>
      </c>
      <c r="C302" s="110">
        <v>0.0011143972919833293</v>
      </c>
      <c r="D302" s="88" t="s">
        <v>2714</v>
      </c>
      <c r="E302" s="88" t="b">
        <v>0</v>
      </c>
      <c r="F302" s="88" t="b">
        <v>0</v>
      </c>
      <c r="G302" s="88" t="b">
        <v>0</v>
      </c>
    </row>
    <row r="303" spans="1:7" ht="15">
      <c r="A303" s="83" t="s">
        <v>2643</v>
      </c>
      <c r="B303" s="88">
        <v>2</v>
      </c>
      <c r="C303" s="110">
        <v>0.0011143972919833293</v>
      </c>
      <c r="D303" s="88" t="s">
        <v>2714</v>
      </c>
      <c r="E303" s="88" t="b">
        <v>0</v>
      </c>
      <c r="F303" s="88" t="b">
        <v>0</v>
      </c>
      <c r="G303" s="88" t="b">
        <v>0</v>
      </c>
    </row>
    <row r="304" spans="1:7" ht="15">
      <c r="A304" s="83" t="s">
        <v>2644</v>
      </c>
      <c r="B304" s="88">
        <v>2</v>
      </c>
      <c r="C304" s="110">
        <v>0.0011143972919833293</v>
      </c>
      <c r="D304" s="88" t="s">
        <v>2714</v>
      </c>
      <c r="E304" s="88" t="b">
        <v>0</v>
      </c>
      <c r="F304" s="88" t="b">
        <v>0</v>
      </c>
      <c r="G304" s="88" t="b">
        <v>0</v>
      </c>
    </row>
    <row r="305" spans="1:7" ht="15">
      <c r="A305" s="83" t="s">
        <v>2645</v>
      </c>
      <c r="B305" s="88">
        <v>2</v>
      </c>
      <c r="C305" s="110">
        <v>0.0011143972919833293</v>
      </c>
      <c r="D305" s="88" t="s">
        <v>2714</v>
      </c>
      <c r="E305" s="88" t="b">
        <v>0</v>
      </c>
      <c r="F305" s="88" t="b">
        <v>0</v>
      </c>
      <c r="G305" s="88" t="b">
        <v>0</v>
      </c>
    </row>
    <row r="306" spans="1:7" ht="15">
      <c r="A306" s="83" t="s">
        <v>2646</v>
      </c>
      <c r="B306" s="88">
        <v>2</v>
      </c>
      <c r="C306" s="110">
        <v>0.0011143972919833293</v>
      </c>
      <c r="D306" s="88" t="s">
        <v>2714</v>
      </c>
      <c r="E306" s="88" t="b">
        <v>0</v>
      </c>
      <c r="F306" s="88" t="b">
        <v>0</v>
      </c>
      <c r="G306" s="88" t="b">
        <v>0</v>
      </c>
    </row>
    <row r="307" spans="1:7" ht="15">
      <c r="A307" s="83" t="s">
        <v>2019</v>
      </c>
      <c r="B307" s="88">
        <v>2</v>
      </c>
      <c r="C307" s="110">
        <v>0.0011143972919833293</v>
      </c>
      <c r="D307" s="88" t="s">
        <v>2714</v>
      </c>
      <c r="E307" s="88" t="b">
        <v>0</v>
      </c>
      <c r="F307" s="88" t="b">
        <v>0</v>
      </c>
      <c r="G307" s="88" t="b">
        <v>0</v>
      </c>
    </row>
    <row r="308" spans="1:7" ht="15">
      <c r="A308" s="83" t="s">
        <v>2022</v>
      </c>
      <c r="B308" s="88">
        <v>2</v>
      </c>
      <c r="C308" s="110">
        <v>0.0011143972919833293</v>
      </c>
      <c r="D308" s="88" t="s">
        <v>2714</v>
      </c>
      <c r="E308" s="88" t="b">
        <v>0</v>
      </c>
      <c r="F308" s="88" t="b">
        <v>0</v>
      </c>
      <c r="G308" s="88" t="b">
        <v>0</v>
      </c>
    </row>
    <row r="309" spans="1:7" ht="15">
      <c r="A309" s="83" t="s">
        <v>2023</v>
      </c>
      <c r="B309" s="88">
        <v>2</v>
      </c>
      <c r="C309" s="110">
        <v>0.0011143972919833293</v>
      </c>
      <c r="D309" s="88" t="s">
        <v>2714</v>
      </c>
      <c r="E309" s="88" t="b">
        <v>0</v>
      </c>
      <c r="F309" s="88" t="b">
        <v>0</v>
      </c>
      <c r="G309" s="88" t="b">
        <v>0</v>
      </c>
    </row>
    <row r="310" spans="1:7" ht="15">
      <c r="A310" s="83" t="s">
        <v>2647</v>
      </c>
      <c r="B310" s="88">
        <v>2</v>
      </c>
      <c r="C310" s="110">
        <v>0.0011143972919833293</v>
      </c>
      <c r="D310" s="88" t="s">
        <v>2714</v>
      </c>
      <c r="E310" s="88" t="b">
        <v>0</v>
      </c>
      <c r="F310" s="88" t="b">
        <v>0</v>
      </c>
      <c r="G310" s="88" t="b">
        <v>0</v>
      </c>
    </row>
    <row r="311" spans="1:7" ht="15">
      <c r="A311" s="83" t="s">
        <v>2648</v>
      </c>
      <c r="B311" s="88">
        <v>2</v>
      </c>
      <c r="C311" s="110">
        <v>0.0011143972919833293</v>
      </c>
      <c r="D311" s="88" t="s">
        <v>2714</v>
      </c>
      <c r="E311" s="88" t="b">
        <v>0</v>
      </c>
      <c r="F311" s="88" t="b">
        <v>0</v>
      </c>
      <c r="G311" s="88" t="b">
        <v>0</v>
      </c>
    </row>
    <row r="312" spans="1:7" ht="15">
      <c r="A312" s="83" t="s">
        <v>389</v>
      </c>
      <c r="B312" s="88">
        <v>2</v>
      </c>
      <c r="C312" s="110">
        <v>0.0011143972919833293</v>
      </c>
      <c r="D312" s="88" t="s">
        <v>2714</v>
      </c>
      <c r="E312" s="88" t="b">
        <v>0</v>
      </c>
      <c r="F312" s="88" t="b">
        <v>0</v>
      </c>
      <c r="G312" s="88" t="b">
        <v>0</v>
      </c>
    </row>
    <row r="313" spans="1:7" ht="15">
      <c r="A313" s="83" t="s">
        <v>2649</v>
      </c>
      <c r="B313" s="88">
        <v>2</v>
      </c>
      <c r="C313" s="110">
        <v>0.0011143972919833293</v>
      </c>
      <c r="D313" s="88" t="s">
        <v>2714</v>
      </c>
      <c r="E313" s="88" t="b">
        <v>1</v>
      </c>
      <c r="F313" s="88" t="b">
        <v>0</v>
      </c>
      <c r="G313" s="88" t="b">
        <v>0</v>
      </c>
    </row>
    <row r="314" spans="1:7" ht="15">
      <c r="A314" s="83" t="s">
        <v>2650</v>
      </c>
      <c r="B314" s="88">
        <v>2</v>
      </c>
      <c r="C314" s="110">
        <v>0.0011143972919833293</v>
      </c>
      <c r="D314" s="88" t="s">
        <v>2714</v>
      </c>
      <c r="E314" s="88" t="b">
        <v>0</v>
      </c>
      <c r="F314" s="88" t="b">
        <v>1</v>
      </c>
      <c r="G314" s="88" t="b">
        <v>0</v>
      </c>
    </row>
    <row r="315" spans="1:7" ht="15">
      <c r="A315" s="83" t="s">
        <v>2050</v>
      </c>
      <c r="B315" s="88">
        <v>2</v>
      </c>
      <c r="C315" s="110">
        <v>0.0012846149881461685</v>
      </c>
      <c r="D315" s="88" t="s">
        <v>2714</v>
      </c>
      <c r="E315" s="88" t="b">
        <v>0</v>
      </c>
      <c r="F315" s="88" t="b">
        <v>0</v>
      </c>
      <c r="G315" s="88" t="b">
        <v>0</v>
      </c>
    </row>
    <row r="316" spans="1:7" ht="15">
      <c r="A316" s="83" t="s">
        <v>2651</v>
      </c>
      <c r="B316" s="88">
        <v>2</v>
      </c>
      <c r="C316" s="110">
        <v>0.0011143972919833293</v>
      </c>
      <c r="D316" s="88" t="s">
        <v>2714</v>
      </c>
      <c r="E316" s="88" t="b">
        <v>0</v>
      </c>
      <c r="F316" s="88" t="b">
        <v>0</v>
      </c>
      <c r="G316" s="88" t="b">
        <v>0</v>
      </c>
    </row>
    <row r="317" spans="1:7" ht="15">
      <c r="A317" s="83" t="s">
        <v>2652</v>
      </c>
      <c r="B317" s="88">
        <v>2</v>
      </c>
      <c r="C317" s="110">
        <v>0.0011143972919833293</v>
      </c>
      <c r="D317" s="88" t="s">
        <v>2714</v>
      </c>
      <c r="E317" s="88" t="b">
        <v>0</v>
      </c>
      <c r="F317" s="88" t="b">
        <v>0</v>
      </c>
      <c r="G317" s="88" t="b">
        <v>0</v>
      </c>
    </row>
    <row r="318" spans="1:7" ht="15">
      <c r="A318" s="83" t="s">
        <v>2653</v>
      </c>
      <c r="B318" s="88">
        <v>2</v>
      </c>
      <c r="C318" s="110">
        <v>0.0011143972919833293</v>
      </c>
      <c r="D318" s="88" t="s">
        <v>2714</v>
      </c>
      <c r="E318" s="88" t="b">
        <v>0</v>
      </c>
      <c r="F318" s="88" t="b">
        <v>0</v>
      </c>
      <c r="G318" s="88" t="b">
        <v>0</v>
      </c>
    </row>
    <row r="319" spans="1:7" ht="15">
      <c r="A319" s="83" t="s">
        <v>2654</v>
      </c>
      <c r="B319" s="88">
        <v>2</v>
      </c>
      <c r="C319" s="110">
        <v>0.0011143972919833293</v>
      </c>
      <c r="D319" s="88" t="s">
        <v>2714</v>
      </c>
      <c r="E319" s="88" t="b">
        <v>0</v>
      </c>
      <c r="F319" s="88" t="b">
        <v>0</v>
      </c>
      <c r="G319" s="88" t="b">
        <v>0</v>
      </c>
    </row>
    <row r="320" spans="1:7" ht="15">
      <c r="A320" s="83" t="s">
        <v>2655</v>
      </c>
      <c r="B320" s="88">
        <v>2</v>
      </c>
      <c r="C320" s="110">
        <v>0.0011143972919833293</v>
      </c>
      <c r="D320" s="88" t="s">
        <v>2714</v>
      </c>
      <c r="E320" s="88" t="b">
        <v>0</v>
      </c>
      <c r="F320" s="88" t="b">
        <v>0</v>
      </c>
      <c r="G320" s="88" t="b">
        <v>0</v>
      </c>
    </row>
    <row r="321" spans="1:7" ht="15">
      <c r="A321" s="83" t="s">
        <v>2656</v>
      </c>
      <c r="B321" s="88">
        <v>2</v>
      </c>
      <c r="C321" s="110">
        <v>0.0011143972919833293</v>
      </c>
      <c r="D321" s="88" t="s">
        <v>2714</v>
      </c>
      <c r="E321" s="88" t="b">
        <v>0</v>
      </c>
      <c r="F321" s="88" t="b">
        <v>0</v>
      </c>
      <c r="G321" s="88" t="b">
        <v>0</v>
      </c>
    </row>
    <row r="322" spans="1:7" ht="15">
      <c r="A322" s="83" t="s">
        <v>2052</v>
      </c>
      <c r="B322" s="88">
        <v>2</v>
      </c>
      <c r="C322" s="110">
        <v>0.0012846149881461685</v>
      </c>
      <c r="D322" s="88" t="s">
        <v>2714</v>
      </c>
      <c r="E322" s="88" t="b">
        <v>0</v>
      </c>
      <c r="F322" s="88" t="b">
        <v>0</v>
      </c>
      <c r="G322" s="88" t="b">
        <v>0</v>
      </c>
    </row>
    <row r="323" spans="1:7" ht="15">
      <c r="A323" s="83" t="s">
        <v>2657</v>
      </c>
      <c r="B323" s="88">
        <v>2</v>
      </c>
      <c r="C323" s="110">
        <v>0.0011143972919833293</v>
      </c>
      <c r="D323" s="88" t="s">
        <v>2714</v>
      </c>
      <c r="E323" s="88" t="b">
        <v>0</v>
      </c>
      <c r="F323" s="88" t="b">
        <v>0</v>
      </c>
      <c r="G323" s="88" t="b">
        <v>0</v>
      </c>
    </row>
    <row r="324" spans="1:7" ht="15">
      <c r="A324" s="83" t="s">
        <v>2658</v>
      </c>
      <c r="B324" s="88">
        <v>2</v>
      </c>
      <c r="C324" s="110">
        <v>0.0011143972919833293</v>
      </c>
      <c r="D324" s="88" t="s">
        <v>2714</v>
      </c>
      <c r="E324" s="88" t="b">
        <v>0</v>
      </c>
      <c r="F324" s="88" t="b">
        <v>0</v>
      </c>
      <c r="G324" s="88" t="b">
        <v>0</v>
      </c>
    </row>
    <row r="325" spans="1:7" ht="15">
      <c r="A325" s="83" t="s">
        <v>2659</v>
      </c>
      <c r="B325" s="88">
        <v>2</v>
      </c>
      <c r="C325" s="110">
        <v>0.0011143972919833293</v>
      </c>
      <c r="D325" s="88" t="s">
        <v>2714</v>
      </c>
      <c r="E325" s="88" t="b">
        <v>0</v>
      </c>
      <c r="F325" s="88" t="b">
        <v>0</v>
      </c>
      <c r="G325" s="88" t="b">
        <v>0</v>
      </c>
    </row>
    <row r="326" spans="1:7" ht="15">
      <c r="A326" s="83" t="s">
        <v>2660</v>
      </c>
      <c r="B326" s="88">
        <v>2</v>
      </c>
      <c r="C326" s="110">
        <v>0.0011143972919833293</v>
      </c>
      <c r="D326" s="88" t="s">
        <v>2714</v>
      </c>
      <c r="E326" s="88" t="b">
        <v>0</v>
      </c>
      <c r="F326" s="88" t="b">
        <v>0</v>
      </c>
      <c r="G326" s="88" t="b">
        <v>0</v>
      </c>
    </row>
    <row r="327" spans="1:7" ht="15">
      <c r="A327" s="83" t="s">
        <v>2661</v>
      </c>
      <c r="B327" s="88">
        <v>2</v>
      </c>
      <c r="C327" s="110">
        <v>0.0011143972919833293</v>
      </c>
      <c r="D327" s="88" t="s">
        <v>2714</v>
      </c>
      <c r="E327" s="88" t="b">
        <v>0</v>
      </c>
      <c r="F327" s="88" t="b">
        <v>0</v>
      </c>
      <c r="G327" s="88" t="b">
        <v>0</v>
      </c>
    </row>
    <row r="328" spans="1:7" ht="15">
      <c r="A328" s="83" t="s">
        <v>2662</v>
      </c>
      <c r="B328" s="88">
        <v>2</v>
      </c>
      <c r="C328" s="110">
        <v>0.0012846149881461685</v>
      </c>
      <c r="D328" s="88" t="s">
        <v>2714</v>
      </c>
      <c r="E328" s="88" t="b">
        <v>0</v>
      </c>
      <c r="F328" s="88" t="b">
        <v>0</v>
      </c>
      <c r="G328" s="88" t="b">
        <v>0</v>
      </c>
    </row>
    <row r="329" spans="1:7" ht="15">
      <c r="A329" s="83" t="s">
        <v>2663</v>
      </c>
      <c r="B329" s="88">
        <v>2</v>
      </c>
      <c r="C329" s="110">
        <v>0.0011143972919833293</v>
      </c>
      <c r="D329" s="88" t="s">
        <v>2714</v>
      </c>
      <c r="E329" s="88" t="b">
        <v>0</v>
      </c>
      <c r="F329" s="88" t="b">
        <v>0</v>
      </c>
      <c r="G329" s="88" t="b">
        <v>0</v>
      </c>
    </row>
    <row r="330" spans="1:7" ht="15">
      <c r="A330" s="83" t="s">
        <v>2664</v>
      </c>
      <c r="B330" s="88">
        <v>2</v>
      </c>
      <c r="C330" s="110">
        <v>0.0011143972919833293</v>
      </c>
      <c r="D330" s="88" t="s">
        <v>2714</v>
      </c>
      <c r="E330" s="88" t="b">
        <v>0</v>
      </c>
      <c r="F330" s="88" t="b">
        <v>0</v>
      </c>
      <c r="G330" s="88" t="b">
        <v>0</v>
      </c>
    </row>
    <row r="331" spans="1:7" ht="15">
      <c r="A331" s="83" t="s">
        <v>2665</v>
      </c>
      <c r="B331" s="88">
        <v>2</v>
      </c>
      <c r="C331" s="110">
        <v>0.0011143972919833293</v>
      </c>
      <c r="D331" s="88" t="s">
        <v>2714</v>
      </c>
      <c r="E331" s="88" t="b">
        <v>0</v>
      </c>
      <c r="F331" s="88" t="b">
        <v>0</v>
      </c>
      <c r="G331" s="88" t="b">
        <v>0</v>
      </c>
    </row>
    <row r="332" spans="1:7" ht="15">
      <c r="A332" s="83" t="s">
        <v>2666</v>
      </c>
      <c r="B332" s="88">
        <v>2</v>
      </c>
      <c r="C332" s="110">
        <v>0.0011143972919833293</v>
      </c>
      <c r="D332" s="88" t="s">
        <v>2714</v>
      </c>
      <c r="E332" s="88" t="b">
        <v>0</v>
      </c>
      <c r="F332" s="88" t="b">
        <v>0</v>
      </c>
      <c r="G332" s="88" t="b">
        <v>0</v>
      </c>
    </row>
    <row r="333" spans="1:7" ht="15">
      <c r="A333" s="83" t="s">
        <v>2667</v>
      </c>
      <c r="B333" s="88">
        <v>2</v>
      </c>
      <c r="C333" s="110">
        <v>0.0011143972919833293</v>
      </c>
      <c r="D333" s="88" t="s">
        <v>2714</v>
      </c>
      <c r="E333" s="88" t="b">
        <v>0</v>
      </c>
      <c r="F333" s="88" t="b">
        <v>0</v>
      </c>
      <c r="G333" s="88" t="b">
        <v>0</v>
      </c>
    </row>
    <row r="334" spans="1:7" ht="15">
      <c r="A334" s="83" t="s">
        <v>2668</v>
      </c>
      <c r="B334" s="88">
        <v>2</v>
      </c>
      <c r="C334" s="110">
        <v>0.0011143972919833293</v>
      </c>
      <c r="D334" s="88" t="s">
        <v>2714</v>
      </c>
      <c r="E334" s="88" t="b">
        <v>0</v>
      </c>
      <c r="F334" s="88" t="b">
        <v>0</v>
      </c>
      <c r="G334" s="88" t="b">
        <v>0</v>
      </c>
    </row>
    <row r="335" spans="1:7" ht="15">
      <c r="A335" s="83" t="s">
        <v>2669</v>
      </c>
      <c r="B335" s="88">
        <v>2</v>
      </c>
      <c r="C335" s="110">
        <v>0.0011143972919833293</v>
      </c>
      <c r="D335" s="88" t="s">
        <v>2714</v>
      </c>
      <c r="E335" s="88" t="b">
        <v>0</v>
      </c>
      <c r="F335" s="88" t="b">
        <v>0</v>
      </c>
      <c r="G335" s="88" t="b">
        <v>0</v>
      </c>
    </row>
    <row r="336" spans="1:7" ht="15">
      <c r="A336" s="83" t="s">
        <v>2670</v>
      </c>
      <c r="B336" s="88">
        <v>2</v>
      </c>
      <c r="C336" s="110">
        <v>0.0012846149881461685</v>
      </c>
      <c r="D336" s="88" t="s">
        <v>2714</v>
      </c>
      <c r="E336" s="88" t="b">
        <v>0</v>
      </c>
      <c r="F336" s="88" t="b">
        <v>0</v>
      </c>
      <c r="G336" s="88" t="b">
        <v>0</v>
      </c>
    </row>
    <row r="337" spans="1:7" ht="15">
      <c r="A337" s="83" t="s">
        <v>2671</v>
      </c>
      <c r="B337" s="88">
        <v>2</v>
      </c>
      <c r="C337" s="110">
        <v>0.0011143972919833293</v>
      </c>
      <c r="D337" s="88" t="s">
        <v>2714</v>
      </c>
      <c r="E337" s="88" t="b">
        <v>0</v>
      </c>
      <c r="F337" s="88" t="b">
        <v>0</v>
      </c>
      <c r="G337" s="88" t="b">
        <v>0</v>
      </c>
    </row>
    <row r="338" spans="1:7" ht="15">
      <c r="A338" s="83" t="s">
        <v>2672</v>
      </c>
      <c r="B338" s="88">
        <v>2</v>
      </c>
      <c r="C338" s="110">
        <v>0.0011143972919833293</v>
      </c>
      <c r="D338" s="88" t="s">
        <v>2714</v>
      </c>
      <c r="E338" s="88" t="b">
        <v>0</v>
      </c>
      <c r="F338" s="88" t="b">
        <v>0</v>
      </c>
      <c r="G338" s="88" t="b">
        <v>0</v>
      </c>
    </row>
    <row r="339" spans="1:7" ht="15">
      <c r="A339" s="83" t="s">
        <v>2673</v>
      </c>
      <c r="B339" s="88">
        <v>2</v>
      </c>
      <c r="C339" s="110">
        <v>0.0011143972919833293</v>
      </c>
      <c r="D339" s="88" t="s">
        <v>2714</v>
      </c>
      <c r="E339" s="88" t="b">
        <v>0</v>
      </c>
      <c r="F339" s="88" t="b">
        <v>0</v>
      </c>
      <c r="G339" s="88" t="b">
        <v>0</v>
      </c>
    </row>
    <row r="340" spans="1:7" ht="15">
      <c r="A340" s="83" t="s">
        <v>2674</v>
      </c>
      <c r="B340" s="88">
        <v>2</v>
      </c>
      <c r="C340" s="110">
        <v>0.0011143972919833293</v>
      </c>
      <c r="D340" s="88" t="s">
        <v>2714</v>
      </c>
      <c r="E340" s="88" t="b">
        <v>0</v>
      </c>
      <c r="F340" s="88" t="b">
        <v>0</v>
      </c>
      <c r="G340" s="88" t="b">
        <v>0</v>
      </c>
    </row>
    <row r="341" spans="1:7" ht="15">
      <c r="A341" s="83" t="s">
        <v>2675</v>
      </c>
      <c r="B341" s="88">
        <v>2</v>
      </c>
      <c r="C341" s="110">
        <v>0.0011143972919833293</v>
      </c>
      <c r="D341" s="88" t="s">
        <v>2714</v>
      </c>
      <c r="E341" s="88" t="b">
        <v>0</v>
      </c>
      <c r="F341" s="88" t="b">
        <v>0</v>
      </c>
      <c r="G341" s="88" t="b">
        <v>0</v>
      </c>
    </row>
    <row r="342" spans="1:7" ht="15">
      <c r="A342" s="83" t="s">
        <v>2676</v>
      </c>
      <c r="B342" s="88">
        <v>2</v>
      </c>
      <c r="C342" s="110">
        <v>0.0011143972919833293</v>
      </c>
      <c r="D342" s="88" t="s">
        <v>2714</v>
      </c>
      <c r="E342" s="88" t="b">
        <v>0</v>
      </c>
      <c r="F342" s="88" t="b">
        <v>0</v>
      </c>
      <c r="G342" s="88" t="b">
        <v>0</v>
      </c>
    </row>
    <row r="343" spans="1:7" ht="15">
      <c r="A343" s="83" t="s">
        <v>2677</v>
      </c>
      <c r="B343" s="88">
        <v>2</v>
      </c>
      <c r="C343" s="110">
        <v>0.0011143972919833293</v>
      </c>
      <c r="D343" s="88" t="s">
        <v>2714</v>
      </c>
      <c r="E343" s="88" t="b">
        <v>0</v>
      </c>
      <c r="F343" s="88" t="b">
        <v>0</v>
      </c>
      <c r="G343" s="88" t="b">
        <v>0</v>
      </c>
    </row>
    <row r="344" spans="1:7" ht="15">
      <c r="A344" s="83" t="s">
        <v>2678</v>
      </c>
      <c r="B344" s="88">
        <v>2</v>
      </c>
      <c r="C344" s="110">
        <v>0.0011143972919833293</v>
      </c>
      <c r="D344" s="88" t="s">
        <v>2714</v>
      </c>
      <c r="E344" s="88" t="b">
        <v>0</v>
      </c>
      <c r="F344" s="88" t="b">
        <v>0</v>
      </c>
      <c r="G344" s="88" t="b">
        <v>0</v>
      </c>
    </row>
    <row r="345" spans="1:7" ht="15">
      <c r="A345" s="83" t="s">
        <v>2679</v>
      </c>
      <c r="B345" s="88">
        <v>2</v>
      </c>
      <c r="C345" s="110">
        <v>0.0011143972919833293</v>
      </c>
      <c r="D345" s="88" t="s">
        <v>2714</v>
      </c>
      <c r="E345" s="88" t="b">
        <v>0</v>
      </c>
      <c r="F345" s="88" t="b">
        <v>0</v>
      </c>
      <c r="G345" s="88" t="b">
        <v>0</v>
      </c>
    </row>
    <row r="346" spans="1:7" ht="15">
      <c r="A346" s="83" t="s">
        <v>2680</v>
      </c>
      <c r="B346" s="88">
        <v>2</v>
      </c>
      <c r="C346" s="110">
        <v>0.0011143972919833293</v>
      </c>
      <c r="D346" s="88" t="s">
        <v>2714</v>
      </c>
      <c r="E346" s="88" t="b">
        <v>0</v>
      </c>
      <c r="F346" s="88" t="b">
        <v>0</v>
      </c>
      <c r="G346" s="88" t="b">
        <v>0</v>
      </c>
    </row>
    <row r="347" spans="1:7" ht="15">
      <c r="A347" s="83" t="s">
        <v>2681</v>
      </c>
      <c r="B347" s="88">
        <v>2</v>
      </c>
      <c r="C347" s="110">
        <v>0.0011143972919833293</v>
      </c>
      <c r="D347" s="88" t="s">
        <v>2714</v>
      </c>
      <c r="E347" s="88" t="b">
        <v>0</v>
      </c>
      <c r="F347" s="88" t="b">
        <v>0</v>
      </c>
      <c r="G347" s="88" t="b">
        <v>0</v>
      </c>
    </row>
    <row r="348" spans="1:7" ht="15">
      <c r="A348" s="83" t="s">
        <v>2682</v>
      </c>
      <c r="B348" s="88">
        <v>2</v>
      </c>
      <c r="C348" s="110">
        <v>0.0011143972919833293</v>
      </c>
      <c r="D348" s="88" t="s">
        <v>2714</v>
      </c>
      <c r="E348" s="88" t="b">
        <v>0</v>
      </c>
      <c r="F348" s="88" t="b">
        <v>0</v>
      </c>
      <c r="G348" s="88" t="b">
        <v>0</v>
      </c>
    </row>
    <row r="349" spans="1:7" ht="15">
      <c r="A349" s="83" t="s">
        <v>2683</v>
      </c>
      <c r="B349" s="88">
        <v>2</v>
      </c>
      <c r="C349" s="110">
        <v>0.0011143972919833293</v>
      </c>
      <c r="D349" s="88" t="s">
        <v>2714</v>
      </c>
      <c r="E349" s="88" t="b">
        <v>0</v>
      </c>
      <c r="F349" s="88" t="b">
        <v>0</v>
      </c>
      <c r="G349" s="88" t="b">
        <v>0</v>
      </c>
    </row>
    <row r="350" spans="1:7" ht="15">
      <c r="A350" s="83" t="s">
        <v>2684</v>
      </c>
      <c r="B350" s="88">
        <v>2</v>
      </c>
      <c r="C350" s="110">
        <v>0.0011143972919833293</v>
      </c>
      <c r="D350" s="88" t="s">
        <v>2714</v>
      </c>
      <c r="E350" s="88" t="b">
        <v>0</v>
      </c>
      <c r="F350" s="88" t="b">
        <v>0</v>
      </c>
      <c r="G350" s="88" t="b">
        <v>0</v>
      </c>
    </row>
    <row r="351" spans="1:7" ht="15">
      <c r="A351" s="83" t="s">
        <v>2685</v>
      </c>
      <c r="B351" s="88">
        <v>2</v>
      </c>
      <c r="C351" s="110">
        <v>0.0011143972919833293</v>
      </c>
      <c r="D351" s="88" t="s">
        <v>2714</v>
      </c>
      <c r="E351" s="88" t="b">
        <v>1</v>
      </c>
      <c r="F351" s="88" t="b">
        <v>0</v>
      </c>
      <c r="G351" s="88" t="b">
        <v>0</v>
      </c>
    </row>
    <row r="352" spans="1:7" ht="15">
      <c r="A352" s="83" t="s">
        <v>2686</v>
      </c>
      <c r="B352" s="88">
        <v>2</v>
      </c>
      <c r="C352" s="110">
        <v>0.0011143972919833293</v>
      </c>
      <c r="D352" s="88" t="s">
        <v>2714</v>
      </c>
      <c r="E352" s="88" t="b">
        <v>0</v>
      </c>
      <c r="F352" s="88" t="b">
        <v>0</v>
      </c>
      <c r="G352" s="88" t="b">
        <v>0</v>
      </c>
    </row>
    <row r="353" spans="1:7" ht="15">
      <c r="A353" s="83" t="s">
        <v>2687</v>
      </c>
      <c r="B353" s="88">
        <v>2</v>
      </c>
      <c r="C353" s="110">
        <v>0.0011143972919833293</v>
      </c>
      <c r="D353" s="88" t="s">
        <v>2714</v>
      </c>
      <c r="E353" s="88" t="b">
        <v>0</v>
      </c>
      <c r="F353" s="88" t="b">
        <v>0</v>
      </c>
      <c r="G353" s="88" t="b">
        <v>0</v>
      </c>
    </row>
    <row r="354" spans="1:7" ht="15">
      <c r="A354" s="83" t="s">
        <v>2688</v>
      </c>
      <c r="B354" s="88">
        <v>2</v>
      </c>
      <c r="C354" s="110">
        <v>0.0011143972919833293</v>
      </c>
      <c r="D354" s="88" t="s">
        <v>2714</v>
      </c>
      <c r="E354" s="88" t="b">
        <v>0</v>
      </c>
      <c r="F354" s="88" t="b">
        <v>0</v>
      </c>
      <c r="G354" s="88" t="b">
        <v>0</v>
      </c>
    </row>
    <row r="355" spans="1:7" ht="15">
      <c r="A355" s="83" t="s">
        <v>2689</v>
      </c>
      <c r="B355" s="88">
        <v>2</v>
      </c>
      <c r="C355" s="110">
        <v>0.0011143972919833293</v>
      </c>
      <c r="D355" s="88" t="s">
        <v>2714</v>
      </c>
      <c r="E355" s="88" t="b">
        <v>0</v>
      </c>
      <c r="F355" s="88" t="b">
        <v>0</v>
      </c>
      <c r="G355" s="88" t="b">
        <v>0</v>
      </c>
    </row>
    <row r="356" spans="1:7" ht="15">
      <c r="A356" s="83" t="s">
        <v>2690</v>
      </c>
      <c r="B356" s="88">
        <v>2</v>
      </c>
      <c r="C356" s="110">
        <v>0.0011143972919833293</v>
      </c>
      <c r="D356" s="88" t="s">
        <v>2714</v>
      </c>
      <c r="E356" s="88" t="b">
        <v>0</v>
      </c>
      <c r="F356" s="88" t="b">
        <v>0</v>
      </c>
      <c r="G356" s="88" t="b">
        <v>0</v>
      </c>
    </row>
    <row r="357" spans="1:7" ht="15">
      <c r="A357" s="83" t="s">
        <v>2691</v>
      </c>
      <c r="B357" s="88">
        <v>2</v>
      </c>
      <c r="C357" s="110">
        <v>0.0011143972919833293</v>
      </c>
      <c r="D357" s="88" t="s">
        <v>2714</v>
      </c>
      <c r="E357" s="88" t="b">
        <v>0</v>
      </c>
      <c r="F357" s="88" t="b">
        <v>0</v>
      </c>
      <c r="G357" s="88" t="b">
        <v>0</v>
      </c>
    </row>
    <row r="358" spans="1:7" ht="15">
      <c r="A358" s="83" t="s">
        <v>2005</v>
      </c>
      <c r="B358" s="88">
        <v>2</v>
      </c>
      <c r="C358" s="110">
        <v>0.0011143972919833293</v>
      </c>
      <c r="D358" s="88" t="s">
        <v>2714</v>
      </c>
      <c r="E358" s="88" t="b">
        <v>0</v>
      </c>
      <c r="F358" s="88" t="b">
        <v>0</v>
      </c>
      <c r="G358" s="88" t="b">
        <v>0</v>
      </c>
    </row>
    <row r="359" spans="1:7" ht="15">
      <c r="A359" s="83" t="s">
        <v>2007</v>
      </c>
      <c r="B359" s="88">
        <v>2</v>
      </c>
      <c r="C359" s="110">
        <v>0.0011143972919833293</v>
      </c>
      <c r="D359" s="88" t="s">
        <v>2714</v>
      </c>
      <c r="E359" s="88" t="b">
        <v>0</v>
      </c>
      <c r="F359" s="88" t="b">
        <v>0</v>
      </c>
      <c r="G359" s="88" t="b">
        <v>0</v>
      </c>
    </row>
    <row r="360" spans="1:7" ht="15">
      <c r="A360" s="83" t="s">
        <v>2009</v>
      </c>
      <c r="B360" s="88">
        <v>2</v>
      </c>
      <c r="C360" s="110">
        <v>0.0011143972919833293</v>
      </c>
      <c r="D360" s="88" t="s">
        <v>2714</v>
      </c>
      <c r="E360" s="88" t="b">
        <v>0</v>
      </c>
      <c r="F360" s="88" t="b">
        <v>0</v>
      </c>
      <c r="G360" s="88" t="b">
        <v>0</v>
      </c>
    </row>
    <row r="361" spans="1:7" ht="15">
      <c r="A361" s="83" t="s">
        <v>372</v>
      </c>
      <c r="B361" s="88">
        <v>2</v>
      </c>
      <c r="C361" s="110">
        <v>0.0011143972919833293</v>
      </c>
      <c r="D361" s="88" t="s">
        <v>2714</v>
      </c>
      <c r="E361" s="88" t="b">
        <v>0</v>
      </c>
      <c r="F361" s="88" t="b">
        <v>0</v>
      </c>
      <c r="G361" s="88" t="b">
        <v>0</v>
      </c>
    </row>
    <row r="362" spans="1:7" ht="15">
      <c r="A362" s="83" t="s">
        <v>2692</v>
      </c>
      <c r="B362" s="88">
        <v>2</v>
      </c>
      <c r="C362" s="110">
        <v>0.0011143972919833293</v>
      </c>
      <c r="D362" s="88" t="s">
        <v>2714</v>
      </c>
      <c r="E362" s="88" t="b">
        <v>0</v>
      </c>
      <c r="F362" s="88" t="b">
        <v>0</v>
      </c>
      <c r="G362" s="88" t="b">
        <v>0</v>
      </c>
    </row>
    <row r="363" spans="1:7" ht="15">
      <c r="A363" s="83" t="s">
        <v>2693</v>
      </c>
      <c r="B363" s="88">
        <v>2</v>
      </c>
      <c r="C363" s="110">
        <v>0.0011143972919833293</v>
      </c>
      <c r="D363" s="88" t="s">
        <v>2714</v>
      </c>
      <c r="E363" s="88" t="b">
        <v>0</v>
      </c>
      <c r="F363" s="88" t="b">
        <v>0</v>
      </c>
      <c r="G363" s="88" t="b">
        <v>0</v>
      </c>
    </row>
    <row r="364" spans="1:7" ht="15">
      <c r="A364" s="83" t="s">
        <v>250</v>
      </c>
      <c r="B364" s="88">
        <v>2</v>
      </c>
      <c r="C364" s="110">
        <v>0.0011143972919833293</v>
      </c>
      <c r="D364" s="88" t="s">
        <v>2714</v>
      </c>
      <c r="E364" s="88" t="b">
        <v>0</v>
      </c>
      <c r="F364" s="88" t="b">
        <v>0</v>
      </c>
      <c r="G364" s="88" t="b">
        <v>0</v>
      </c>
    </row>
    <row r="365" spans="1:7" ht="15">
      <c r="A365" s="83" t="s">
        <v>2694</v>
      </c>
      <c r="B365" s="88">
        <v>2</v>
      </c>
      <c r="C365" s="110">
        <v>0.0011143972919833293</v>
      </c>
      <c r="D365" s="88" t="s">
        <v>2714</v>
      </c>
      <c r="E365" s="88" t="b">
        <v>0</v>
      </c>
      <c r="F365" s="88" t="b">
        <v>0</v>
      </c>
      <c r="G365" s="88" t="b">
        <v>0</v>
      </c>
    </row>
    <row r="366" spans="1:7" ht="15">
      <c r="A366" s="83" t="s">
        <v>2695</v>
      </c>
      <c r="B366" s="88">
        <v>2</v>
      </c>
      <c r="C366" s="110">
        <v>0.0012846149881461685</v>
      </c>
      <c r="D366" s="88" t="s">
        <v>2714</v>
      </c>
      <c r="E366" s="88" t="b">
        <v>0</v>
      </c>
      <c r="F366" s="88" t="b">
        <v>0</v>
      </c>
      <c r="G366" s="88" t="b">
        <v>0</v>
      </c>
    </row>
    <row r="367" spans="1:7" ht="15">
      <c r="A367" s="83" t="s">
        <v>2696</v>
      </c>
      <c r="B367" s="88">
        <v>2</v>
      </c>
      <c r="C367" s="110">
        <v>0.0012846149881461685</v>
      </c>
      <c r="D367" s="88" t="s">
        <v>2714</v>
      </c>
      <c r="E367" s="88" t="b">
        <v>0</v>
      </c>
      <c r="F367" s="88" t="b">
        <v>0</v>
      </c>
      <c r="G367" s="88" t="b">
        <v>0</v>
      </c>
    </row>
    <row r="368" spans="1:7" ht="15">
      <c r="A368" s="83" t="s">
        <v>2697</v>
      </c>
      <c r="B368" s="88">
        <v>2</v>
      </c>
      <c r="C368" s="110">
        <v>0.0011143972919833293</v>
      </c>
      <c r="D368" s="88" t="s">
        <v>2714</v>
      </c>
      <c r="E368" s="88" t="b">
        <v>0</v>
      </c>
      <c r="F368" s="88" t="b">
        <v>0</v>
      </c>
      <c r="G368" s="88" t="b">
        <v>0</v>
      </c>
    </row>
    <row r="369" spans="1:7" ht="15">
      <c r="A369" s="83" t="s">
        <v>2698</v>
      </c>
      <c r="B369" s="88">
        <v>2</v>
      </c>
      <c r="C369" s="110">
        <v>0.0011143972919833293</v>
      </c>
      <c r="D369" s="88" t="s">
        <v>2714</v>
      </c>
      <c r="E369" s="88" t="b">
        <v>0</v>
      </c>
      <c r="F369" s="88" t="b">
        <v>0</v>
      </c>
      <c r="G369" s="88" t="b">
        <v>0</v>
      </c>
    </row>
    <row r="370" spans="1:7" ht="15">
      <c r="A370" s="83" t="s">
        <v>2699</v>
      </c>
      <c r="B370" s="88">
        <v>2</v>
      </c>
      <c r="C370" s="110">
        <v>0.0011143972919833293</v>
      </c>
      <c r="D370" s="88" t="s">
        <v>2714</v>
      </c>
      <c r="E370" s="88" t="b">
        <v>0</v>
      </c>
      <c r="F370" s="88" t="b">
        <v>0</v>
      </c>
      <c r="G370" s="88" t="b">
        <v>0</v>
      </c>
    </row>
    <row r="371" spans="1:7" ht="15">
      <c r="A371" s="83" t="s">
        <v>2057</v>
      </c>
      <c r="B371" s="88">
        <v>2</v>
      </c>
      <c r="C371" s="110">
        <v>0.0012846149881461685</v>
      </c>
      <c r="D371" s="88" t="s">
        <v>2714</v>
      </c>
      <c r="E371" s="88" t="b">
        <v>0</v>
      </c>
      <c r="F371" s="88" t="b">
        <v>0</v>
      </c>
      <c r="G371" s="88" t="b">
        <v>0</v>
      </c>
    </row>
    <row r="372" spans="1:7" ht="15">
      <c r="A372" s="83" t="s">
        <v>2700</v>
      </c>
      <c r="B372" s="88">
        <v>2</v>
      </c>
      <c r="C372" s="110">
        <v>0.0011143972919833293</v>
      </c>
      <c r="D372" s="88" t="s">
        <v>2714</v>
      </c>
      <c r="E372" s="88" t="b">
        <v>0</v>
      </c>
      <c r="F372" s="88" t="b">
        <v>0</v>
      </c>
      <c r="G372" s="88" t="b">
        <v>0</v>
      </c>
    </row>
    <row r="373" spans="1:7" ht="15">
      <c r="A373" s="83" t="s">
        <v>367</v>
      </c>
      <c r="B373" s="88">
        <v>2</v>
      </c>
      <c r="C373" s="110">
        <v>0.0011143972919833293</v>
      </c>
      <c r="D373" s="88" t="s">
        <v>2714</v>
      </c>
      <c r="E373" s="88" t="b">
        <v>0</v>
      </c>
      <c r="F373" s="88" t="b">
        <v>0</v>
      </c>
      <c r="G373" s="88" t="b">
        <v>0</v>
      </c>
    </row>
    <row r="374" spans="1:7" ht="15">
      <c r="A374" s="83" t="s">
        <v>2701</v>
      </c>
      <c r="B374" s="88">
        <v>2</v>
      </c>
      <c r="C374" s="110">
        <v>0.0011143972919833293</v>
      </c>
      <c r="D374" s="88" t="s">
        <v>2714</v>
      </c>
      <c r="E374" s="88" t="b">
        <v>0</v>
      </c>
      <c r="F374" s="88" t="b">
        <v>0</v>
      </c>
      <c r="G374" s="88" t="b">
        <v>0</v>
      </c>
    </row>
    <row r="375" spans="1:7" ht="15">
      <c r="A375" s="83" t="s">
        <v>2702</v>
      </c>
      <c r="B375" s="88">
        <v>2</v>
      </c>
      <c r="C375" s="110">
        <v>0.0011143972919833293</v>
      </c>
      <c r="D375" s="88" t="s">
        <v>2714</v>
      </c>
      <c r="E375" s="88" t="b">
        <v>0</v>
      </c>
      <c r="F375" s="88" t="b">
        <v>0</v>
      </c>
      <c r="G375" s="88" t="b">
        <v>0</v>
      </c>
    </row>
    <row r="376" spans="1:7" ht="15">
      <c r="A376" s="83" t="s">
        <v>2703</v>
      </c>
      <c r="B376" s="88">
        <v>2</v>
      </c>
      <c r="C376" s="110">
        <v>0.0011143972919833293</v>
      </c>
      <c r="D376" s="88" t="s">
        <v>2714</v>
      </c>
      <c r="E376" s="88" t="b">
        <v>0</v>
      </c>
      <c r="F376" s="88" t="b">
        <v>0</v>
      </c>
      <c r="G376" s="88" t="b">
        <v>0</v>
      </c>
    </row>
    <row r="377" spans="1:7" ht="15">
      <c r="A377" s="83" t="s">
        <v>2704</v>
      </c>
      <c r="B377" s="88">
        <v>2</v>
      </c>
      <c r="C377" s="110">
        <v>0.0011143972919833293</v>
      </c>
      <c r="D377" s="88" t="s">
        <v>2714</v>
      </c>
      <c r="E377" s="88" t="b">
        <v>0</v>
      </c>
      <c r="F377" s="88" t="b">
        <v>0</v>
      </c>
      <c r="G377" s="88" t="b">
        <v>0</v>
      </c>
    </row>
    <row r="378" spans="1:7" ht="15">
      <c r="A378" s="83" t="s">
        <v>2705</v>
      </c>
      <c r="B378" s="88">
        <v>2</v>
      </c>
      <c r="C378" s="110">
        <v>0.0011143972919833293</v>
      </c>
      <c r="D378" s="88" t="s">
        <v>2714</v>
      </c>
      <c r="E378" s="88" t="b">
        <v>0</v>
      </c>
      <c r="F378" s="88" t="b">
        <v>0</v>
      </c>
      <c r="G378" s="88" t="b">
        <v>0</v>
      </c>
    </row>
    <row r="379" spans="1:7" ht="15">
      <c r="A379" s="83" t="s">
        <v>2706</v>
      </c>
      <c r="B379" s="88">
        <v>2</v>
      </c>
      <c r="C379" s="110">
        <v>0.0011143972919833293</v>
      </c>
      <c r="D379" s="88" t="s">
        <v>2714</v>
      </c>
      <c r="E379" s="88" t="b">
        <v>0</v>
      </c>
      <c r="F379" s="88" t="b">
        <v>0</v>
      </c>
      <c r="G379" s="88" t="b">
        <v>0</v>
      </c>
    </row>
    <row r="380" spans="1:7" ht="15">
      <c r="A380" s="83" t="s">
        <v>2707</v>
      </c>
      <c r="B380" s="88">
        <v>2</v>
      </c>
      <c r="C380" s="110">
        <v>0.0011143972919833293</v>
      </c>
      <c r="D380" s="88" t="s">
        <v>2714</v>
      </c>
      <c r="E380" s="88" t="b">
        <v>1</v>
      </c>
      <c r="F380" s="88" t="b">
        <v>0</v>
      </c>
      <c r="G380" s="88" t="b">
        <v>0</v>
      </c>
    </row>
    <row r="381" spans="1:7" ht="15">
      <c r="A381" s="83" t="s">
        <v>2708</v>
      </c>
      <c r="B381" s="88">
        <v>2</v>
      </c>
      <c r="C381" s="110">
        <v>0.0011143972919833293</v>
      </c>
      <c r="D381" s="88" t="s">
        <v>2714</v>
      </c>
      <c r="E381" s="88" t="b">
        <v>0</v>
      </c>
      <c r="F381" s="88" t="b">
        <v>0</v>
      </c>
      <c r="G381" s="88" t="b">
        <v>0</v>
      </c>
    </row>
    <row r="382" spans="1:7" ht="15">
      <c r="A382" s="83" t="s">
        <v>1966</v>
      </c>
      <c r="B382" s="88">
        <v>128</v>
      </c>
      <c r="C382" s="110">
        <v>0</v>
      </c>
      <c r="D382" s="88" t="s">
        <v>1777</v>
      </c>
      <c r="E382" s="88" t="b">
        <v>0</v>
      </c>
      <c r="F382" s="88" t="b">
        <v>0</v>
      </c>
      <c r="G382" s="88" t="b">
        <v>0</v>
      </c>
    </row>
    <row r="383" spans="1:7" ht="15">
      <c r="A383" s="83" t="s">
        <v>1974</v>
      </c>
      <c r="B383" s="88">
        <v>64</v>
      </c>
      <c r="C383" s="110">
        <v>0</v>
      </c>
      <c r="D383" s="88" t="s">
        <v>1777</v>
      </c>
      <c r="E383" s="88" t="b">
        <v>0</v>
      </c>
      <c r="F383" s="88" t="b">
        <v>0</v>
      </c>
      <c r="G383" s="88" t="b">
        <v>0</v>
      </c>
    </row>
    <row r="384" spans="1:7" ht="15">
      <c r="A384" s="83" t="s">
        <v>378</v>
      </c>
      <c r="B384" s="88">
        <v>64</v>
      </c>
      <c r="C384" s="110">
        <v>0</v>
      </c>
      <c r="D384" s="88" t="s">
        <v>1777</v>
      </c>
      <c r="E384" s="88" t="b">
        <v>0</v>
      </c>
      <c r="F384" s="88" t="b">
        <v>0</v>
      </c>
      <c r="G384" s="88" t="b">
        <v>0</v>
      </c>
    </row>
    <row r="385" spans="1:7" ht="15">
      <c r="A385" s="83" t="s">
        <v>1971</v>
      </c>
      <c r="B385" s="88">
        <v>64</v>
      </c>
      <c r="C385" s="110">
        <v>0</v>
      </c>
      <c r="D385" s="88" t="s">
        <v>1777</v>
      </c>
      <c r="E385" s="88" t="b">
        <v>0</v>
      </c>
      <c r="F385" s="88" t="b">
        <v>0</v>
      </c>
      <c r="G385" s="88" t="b">
        <v>0</v>
      </c>
    </row>
    <row r="386" spans="1:7" ht="15">
      <c r="A386" s="83" t="s">
        <v>1972</v>
      </c>
      <c r="B386" s="88">
        <v>64</v>
      </c>
      <c r="C386" s="110">
        <v>0</v>
      </c>
      <c r="D386" s="88" t="s">
        <v>1777</v>
      </c>
      <c r="E386" s="88" t="b">
        <v>0</v>
      </c>
      <c r="F386" s="88" t="b">
        <v>0</v>
      </c>
      <c r="G386" s="88" t="b">
        <v>0</v>
      </c>
    </row>
    <row r="387" spans="1:7" ht="15">
      <c r="A387" s="83" t="s">
        <v>1970</v>
      </c>
      <c r="B387" s="88">
        <v>64</v>
      </c>
      <c r="C387" s="110">
        <v>0</v>
      </c>
      <c r="D387" s="88" t="s">
        <v>1777</v>
      </c>
      <c r="E387" s="88" t="b">
        <v>0</v>
      </c>
      <c r="F387" s="88" t="b">
        <v>0</v>
      </c>
      <c r="G387" s="88" t="b">
        <v>0</v>
      </c>
    </row>
    <row r="388" spans="1:7" ht="15">
      <c r="A388" s="83" t="s">
        <v>1965</v>
      </c>
      <c r="B388" s="88">
        <v>64</v>
      </c>
      <c r="C388" s="110">
        <v>0</v>
      </c>
      <c r="D388" s="88" t="s">
        <v>1777</v>
      </c>
      <c r="E388" s="88" t="b">
        <v>0</v>
      </c>
      <c r="F388" s="88" t="b">
        <v>0</v>
      </c>
      <c r="G388" s="88" t="b">
        <v>0</v>
      </c>
    </row>
    <row r="389" spans="1:7" ht="15">
      <c r="A389" s="83" t="s">
        <v>1944</v>
      </c>
      <c r="B389" s="88">
        <v>64</v>
      </c>
      <c r="C389" s="110">
        <v>0</v>
      </c>
      <c r="D389" s="88" t="s">
        <v>1777</v>
      </c>
      <c r="E389" s="88" t="b">
        <v>0</v>
      </c>
      <c r="F389" s="88" t="b">
        <v>0</v>
      </c>
      <c r="G389" s="88" t="b">
        <v>0</v>
      </c>
    </row>
    <row r="390" spans="1:7" ht="15">
      <c r="A390" s="83" t="s">
        <v>1968</v>
      </c>
      <c r="B390" s="88">
        <v>64</v>
      </c>
      <c r="C390" s="110">
        <v>0</v>
      </c>
      <c r="D390" s="88" t="s">
        <v>1777</v>
      </c>
      <c r="E390" s="88" t="b">
        <v>0</v>
      </c>
      <c r="F390" s="88" t="b">
        <v>0</v>
      </c>
      <c r="G390" s="88" t="b">
        <v>0</v>
      </c>
    </row>
    <row r="391" spans="1:7" ht="15">
      <c r="A391" s="83" t="s">
        <v>1969</v>
      </c>
      <c r="B391" s="88">
        <v>64</v>
      </c>
      <c r="C391" s="110">
        <v>0</v>
      </c>
      <c r="D391" s="88" t="s">
        <v>1777</v>
      </c>
      <c r="E391" s="88" t="b">
        <v>0</v>
      </c>
      <c r="F391" s="88" t="b">
        <v>0</v>
      </c>
      <c r="G391" s="88" t="b">
        <v>0</v>
      </c>
    </row>
    <row r="392" spans="1:7" ht="15">
      <c r="A392" s="83" t="s">
        <v>331</v>
      </c>
      <c r="B392" s="88">
        <v>64</v>
      </c>
      <c r="C392" s="110">
        <v>0</v>
      </c>
      <c r="D392" s="88" t="s">
        <v>1777</v>
      </c>
      <c r="E392" s="88" t="b">
        <v>0</v>
      </c>
      <c r="F392" s="88" t="b">
        <v>0</v>
      </c>
      <c r="G392" s="88" t="b">
        <v>0</v>
      </c>
    </row>
    <row r="393" spans="1:7" ht="15">
      <c r="A393" s="83" t="s">
        <v>2428</v>
      </c>
      <c r="B393" s="88">
        <v>64</v>
      </c>
      <c r="C393" s="110">
        <v>0</v>
      </c>
      <c r="D393" s="88" t="s">
        <v>1777</v>
      </c>
      <c r="E393" s="88" t="b">
        <v>0</v>
      </c>
      <c r="F393" s="88" t="b">
        <v>0</v>
      </c>
      <c r="G393" s="88" t="b">
        <v>0</v>
      </c>
    </row>
    <row r="394" spans="1:7" ht="15">
      <c r="A394" s="83" t="s">
        <v>2429</v>
      </c>
      <c r="B394" s="88">
        <v>64</v>
      </c>
      <c r="C394" s="110">
        <v>0</v>
      </c>
      <c r="D394" s="88" t="s">
        <v>1777</v>
      </c>
      <c r="E394" s="88" t="b">
        <v>0</v>
      </c>
      <c r="F394" s="88" t="b">
        <v>0</v>
      </c>
      <c r="G394" s="88" t="b">
        <v>0</v>
      </c>
    </row>
    <row r="395" spans="1:7" ht="15">
      <c r="A395" s="83" t="s">
        <v>2430</v>
      </c>
      <c r="B395" s="88">
        <v>64</v>
      </c>
      <c r="C395" s="110">
        <v>0</v>
      </c>
      <c r="D395" s="88" t="s">
        <v>1777</v>
      </c>
      <c r="E395" s="88" t="b">
        <v>0</v>
      </c>
      <c r="F395" s="88" t="b">
        <v>0</v>
      </c>
      <c r="G395" s="88" t="b">
        <v>0</v>
      </c>
    </row>
    <row r="396" spans="1:7" ht="15">
      <c r="A396" s="83" t="s">
        <v>1964</v>
      </c>
      <c r="B396" s="88">
        <v>64</v>
      </c>
      <c r="C396" s="110">
        <v>0</v>
      </c>
      <c r="D396" s="88" t="s">
        <v>1777</v>
      </c>
      <c r="E396" s="88" t="b">
        <v>0</v>
      </c>
      <c r="F396" s="88" t="b">
        <v>0</v>
      </c>
      <c r="G396" s="88" t="b">
        <v>0</v>
      </c>
    </row>
    <row r="397" spans="1:7" ht="15">
      <c r="A397" s="83" t="s">
        <v>1967</v>
      </c>
      <c r="B397" s="88">
        <v>64</v>
      </c>
      <c r="C397" s="110">
        <v>0</v>
      </c>
      <c r="D397" s="88" t="s">
        <v>1777</v>
      </c>
      <c r="E397" s="88" t="b">
        <v>0</v>
      </c>
      <c r="F397" s="88" t="b">
        <v>0</v>
      </c>
      <c r="G397" s="88" t="b">
        <v>0</v>
      </c>
    </row>
    <row r="398" spans="1:7" ht="15">
      <c r="A398" s="83" t="s">
        <v>2426</v>
      </c>
      <c r="B398" s="88">
        <v>64</v>
      </c>
      <c r="C398" s="110">
        <v>0</v>
      </c>
      <c r="D398" s="88" t="s">
        <v>1777</v>
      </c>
      <c r="E398" s="88" t="b">
        <v>0</v>
      </c>
      <c r="F398" s="88" t="b">
        <v>0</v>
      </c>
      <c r="G398" s="88" t="b">
        <v>0</v>
      </c>
    </row>
    <row r="399" spans="1:7" ht="15">
      <c r="A399" s="83" t="s">
        <v>2431</v>
      </c>
      <c r="B399" s="88">
        <v>64</v>
      </c>
      <c r="C399" s="110">
        <v>0</v>
      </c>
      <c r="D399" s="88" t="s">
        <v>1777</v>
      </c>
      <c r="E399" s="88" t="b">
        <v>0</v>
      </c>
      <c r="F399" s="88" t="b">
        <v>0</v>
      </c>
      <c r="G399" s="88" t="b">
        <v>0</v>
      </c>
    </row>
    <row r="400" spans="1:7" ht="15">
      <c r="A400" s="83" t="s">
        <v>2427</v>
      </c>
      <c r="B400" s="88">
        <v>64</v>
      </c>
      <c r="C400" s="110">
        <v>0</v>
      </c>
      <c r="D400" s="88" t="s">
        <v>1777</v>
      </c>
      <c r="E400" s="88" t="b">
        <v>0</v>
      </c>
      <c r="F400" s="88" t="b">
        <v>0</v>
      </c>
      <c r="G400" s="88" t="b">
        <v>0</v>
      </c>
    </row>
    <row r="401" spans="1:7" ht="15">
      <c r="A401" s="83" t="s">
        <v>2432</v>
      </c>
      <c r="B401" s="88">
        <v>64</v>
      </c>
      <c r="C401" s="110">
        <v>0</v>
      </c>
      <c r="D401" s="88" t="s">
        <v>1777</v>
      </c>
      <c r="E401" s="88" t="b">
        <v>0</v>
      </c>
      <c r="F401" s="88" t="b">
        <v>0</v>
      </c>
      <c r="G401" s="88" t="b">
        <v>0</v>
      </c>
    </row>
    <row r="402" spans="1:7" ht="15">
      <c r="A402" s="83" t="s">
        <v>377</v>
      </c>
      <c r="B402" s="88">
        <v>63</v>
      </c>
      <c r="C402" s="110">
        <v>0.00030408168342218976</v>
      </c>
      <c r="D402" s="88" t="s">
        <v>1777</v>
      </c>
      <c r="E402" s="88" t="b">
        <v>0</v>
      </c>
      <c r="F402" s="88" t="b">
        <v>0</v>
      </c>
      <c r="G402" s="88" t="b">
        <v>0</v>
      </c>
    </row>
    <row r="403" spans="1:7" ht="15">
      <c r="A403" s="83" t="s">
        <v>332</v>
      </c>
      <c r="B403" s="88">
        <v>9</v>
      </c>
      <c r="C403" s="110">
        <v>0.005411035413479931</v>
      </c>
      <c r="D403" s="88" t="s">
        <v>1777</v>
      </c>
      <c r="E403" s="88" t="b">
        <v>0</v>
      </c>
      <c r="F403" s="88" t="b">
        <v>0</v>
      </c>
      <c r="G403" s="88" t="b">
        <v>0</v>
      </c>
    </row>
    <row r="404" spans="1:7" ht="15">
      <c r="A404" s="83" t="s">
        <v>1944</v>
      </c>
      <c r="B404" s="88">
        <v>30</v>
      </c>
      <c r="C404" s="110">
        <v>0.004518853011248317</v>
      </c>
      <c r="D404" s="88" t="s">
        <v>1778</v>
      </c>
      <c r="E404" s="88" t="b">
        <v>0</v>
      </c>
      <c r="F404" s="88" t="b">
        <v>0</v>
      </c>
      <c r="G404" s="88" t="b">
        <v>0</v>
      </c>
    </row>
    <row r="405" spans="1:7" ht="15">
      <c r="A405" s="83" t="s">
        <v>1964</v>
      </c>
      <c r="B405" s="88">
        <v>23</v>
      </c>
      <c r="C405" s="110">
        <v>0.0034644539752903764</v>
      </c>
      <c r="D405" s="88" t="s">
        <v>1778</v>
      </c>
      <c r="E405" s="88" t="b">
        <v>0</v>
      </c>
      <c r="F405" s="88" t="b">
        <v>0</v>
      </c>
      <c r="G405" s="88" t="b">
        <v>0</v>
      </c>
    </row>
    <row r="406" spans="1:7" ht="15">
      <c r="A406" s="83" t="s">
        <v>1965</v>
      </c>
      <c r="B406" s="88">
        <v>22</v>
      </c>
      <c r="C406" s="110">
        <v>0.004524642631292847</v>
      </c>
      <c r="D406" s="88" t="s">
        <v>1778</v>
      </c>
      <c r="E406" s="88" t="b">
        <v>0</v>
      </c>
      <c r="F406" s="88" t="b">
        <v>0</v>
      </c>
      <c r="G406" s="88" t="b">
        <v>0</v>
      </c>
    </row>
    <row r="407" spans="1:7" ht="15">
      <c r="A407" s="83" t="s">
        <v>1976</v>
      </c>
      <c r="B407" s="88">
        <v>7</v>
      </c>
      <c r="C407" s="110">
        <v>0.009729330939951803</v>
      </c>
      <c r="D407" s="88" t="s">
        <v>1778</v>
      </c>
      <c r="E407" s="88" t="b">
        <v>0</v>
      </c>
      <c r="F407" s="88" t="b">
        <v>0</v>
      </c>
      <c r="G407" s="88" t="b">
        <v>0</v>
      </c>
    </row>
    <row r="408" spans="1:7" ht="15">
      <c r="A408" s="83" t="s">
        <v>1977</v>
      </c>
      <c r="B408" s="88">
        <v>7</v>
      </c>
      <c r="C408" s="110">
        <v>0.009729330939951803</v>
      </c>
      <c r="D408" s="88" t="s">
        <v>1778</v>
      </c>
      <c r="E408" s="88" t="b">
        <v>0</v>
      </c>
      <c r="F408" s="88" t="b">
        <v>0</v>
      </c>
      <c r="G408" s="88" t="b">
        <v>0</v>
      </c>
    </row>
    <row r="409" spans="1:7" ht="15">
      <c r="A409" s="83" t="s">
        <v>1978</v>
      </c>
      <c r="B409" s="88">
        <v>7</v>
      </c>
      <c r="C409" s="110">
        <v>0.009729330939951803</v>
      </c>
      <c r="D409" s="88" t="s">
        <v>1778</v>
      </c>
      <c r="E409" s="88" t="b">
        <v>0</v>
      </c>
      <c r="F409" s="88" t="b">
        <v>0</v>
      </c>
      <c r="G409" s="88" t="b">
        <v>0</v>
      </c>
    </row>
    <row r="410" spans="1:7" ht="15">
      <c r="A410" s="83" t="s">
        <v>1979</v>
      </c>
      <c r="B410" s="88">
        <v>7</v>
      </c>
      <c r="C410" s="110">
        <v>0.009729330939951803</v>
      </c>
      <c r="D410" s="88" t="s">
        <v>1778</v>
      </c>
      <c r="E410" s="88" t="b">
        <v>0</v>
      </c>
      <c r="F410" s="88" t="b">
        <v>0</v>
      </c>
      <c r="G410" s="88" t="b">
        <v>0</v>
      </c>
    </row>
    <row r="411" spans="1:7" ht="15">
      <c r="A411" s="83" t="s">
        <v>1980</v>
      </c>
      <c r="B411" s="88">
        <v>7</v>
      </c>
      <c r="C411" s="110">
        <v>0.009729330939951803</v>
      </c>
      <c r="D411" s="88" t="s">
        <v>1778</v>
      </c>
      <c r="E411" s="88" t="b">
        <v>0</v>
      </c>
      <c r="F411" s="88" t="b">
        <v>0</v>
      </c>
      <c r="G411" s="88" t="b">
        <v>0</v>
      </c>
    </row>
    <row r="412" spans="1:7" ht="15">
      <c r="A412" s="83" t="s">
        <v>1981</v>
      </c>
      <c r="B412" s="88">
        <v>6</v>
      </c>
      <c r="C412" s="110">
        <v>0.009382753111604608</v>
      </c>
      <c r="D412" s="88" t="s">
        <v>1778</v>
      </c>
      <c r="E412" s="88" t="b">
        <v>0</v>
      </c>
      <c r="F412" s="88" t="b">
        <v>0</v>
      </c>
      <c r="G412" s="88" t="b">
        <v>0</v>
      </c>
    </row>
    <row r="413" spans="1:7" ht="15">
      <c r="A413" s="83" t="s">
        <v>1982</v>
      </c>
      <c r="B413" s="88">
        <v>6</v>
      </c>
      <c r="C413" s="110">
        <v>0.009382753111604608</v>
      </c>
      <c r="D413" s="88" t="s">
        <v>1778</v>
      </c>
      <c r="E413" s="88" t="b">
        <v>0</v>
      </c>
      <c r="F413" s="88" t="b">
        <v>0</v>
      </c>
      <c r="G413" s="88" t="b">
        <v>0</v>
      </c>
    </row>
    <row r="414" spans="1:7" ht="15">
      <c r="A414" s="83" t="s">
        <v>1967</v>
      </c>
      <c r="B414" s="88">
        <v>5</v>
      </c>
      <c r="C414" s="110">
        <v>0.010105860394592775</v>
      </c>
      <c r="D414" s="88" t="s">
        <v>1778</v>
      </c>
      <c r="E414" s="88" t="b">
        <v>0</v>
      </c>
      <c r="F414" s="88" t="b">
        <v>0</v>
      </c>
      <c r="G414" s="88" t="b">
        <v>0</v>
      </c>
    </row>
    <row r="415" spans="1:7" ht="15">
      <c r="A415" s="83" t="s">
        <v>1970</v>
      </c>
      <c r="B415" s="88">
        <v>5</v>
      </c>
      <c r="C415" s="110">
        <v>0.010105860394592775</v>
      </c>
      <c r="D415" s="88" t="s">
        <v>1778</v>
      </c>
      <c r="E415" s="88" t="b">
        <v>0</v>
      </c>
      <c r="F415" s="88" t="b">
        <v>0</v>
      </c>
      <c r="G415" s="88" t="b">
        <v>0</v>
      </c>
    </row>
    <row r="416" spans="1:7" ht="15">
      <c r="A416" s="83" t="s">
        <v>1969</v>
      </c>
      <c r="B416" s="88">
        <v>3</v>
      </c>
      <c r="C416" s="110">
        <v>0.008409204514656817</v>
      </c>
      <c r="D416" s="88" t="s">
        <v>1778</v>
      </c>
      <c r="E416" s="88" t="b">
        <v>0</v>
      </c>
      <c r="F416" s="88" t="b">
        <v>0</v>
      </c>
      <c r="G416" s="88" t="b">
        <v>0</v>
      </c>
    </row>
    <row r="417" spans="1:7" ht="15">
      <c r="A417" s="83" t="s">
        <v>1988</v>
      </c>
      <c r="B417" s="88">
        <v>3</v>
      </c>
      <c r="C417" s="110">
        <v>0.008409204514656817</v>
      </c>
      <c r="D417" s="88" t="s">
        <v>1778</v>
      </c>
      <c r="E417" s="88" t="b">
        <v>0</v>
      </c>
      <c r="F417" s="88" t="b">
        <v>0</v>
      </c>
      <c r="G417" s="88" t="b">
        <v>0</v>
      </c>
    </row>
    <row r="418" spans="1:7" ht="15">
      <c r="A418" s="83" t="s">
        <v>1971</v>
      </c>
      <c r="B418" s="88">
        <v>3</v>
      </c>
      <c r="C418" s="110">
        <v>0.008409204514656817</v>
      </c>
      <c r="D418" s="88" t="s">
        <v>1778</v>
      </c>
      <c r="E418" s="88" t="b">
        <v>0</v>
      </c>
      <c r="F418" s="88" t="b">
        <v>0</v>
      </c>
      <c r="G418" s="88" t="b">
        <v>0</v>
      </c>
    </row>
    <row r="419" spans="1:7" ht="15">
      <c r="A419" s="83" t="s">
        <v>2536</v>
      </c>
      <c r="B419" s="88">
        <v>3</v>
      </c>
      <c r="C419" s="110">
        <v>0.010754892792557967</v>
      </c>
      <c r="D419" s="88" t="s">
        <v>1778</v>
      </c>
      <c r="E419" s="88" t="b">
        <v>1</v>
      </c>
      <c r="F419" s="88" t="b">
        <v>0</v>
      </c>
      <c r="G419" s="88" t="b">
        <v>0</v>
      </c>
    </row>
    <row r="420" spans="1:7" ht="15">
      <c r="A420" s="83" t="s">
        <v>2498</v>
      </c>
      <c r="B420" s="88">
        <v>2</v>
      </c>
      <c r="C420" s="110">
        <v>0.005606136343104545</v>
      </c>
      <c r="D420" s="88" t="s">
        <v>1778</v>
      </c>
      <c r="E420" s="88" t="b">
        <v>0</v>
      </c>
      <c r="F420" s="88" t="b">
        <v>0</v>
      </c>
      <c r="G420" s="88" t="b">
        <v>0</v>
      </c>
    </row>
    <row r="421" spans="1:7" ht="15">
      <c r="A421" s="83" t="s">
        <v>2619</v>
      </c>
      <c r="B421" s="88">
        <v>2</v>
      </c>
      <c r="C421" s="110">
        <v>0.005606136343104545</v>
      </c>
      <c r="D421" s="88" t="s">
        <v>1778</v>
      </c>
      <c r="E421" s="88" t="b">
        <v>0</v>
      </c>
      <c r="F421" s="88" t="b">
        <v>0</v>
      </c>
      <c r="G421" s="88" t="b">
        <v>0</v>
      </c>
    </row>
    <row r="422" spans="1:7" ht="15">
      <c r="A422" s="83" t="s">
        <v>2678</v>
      </c>
      <c r="B422" s="88">
        <v>2</v>
      </c>
      <c r="C422" s="110">
        <v>0.005606136343104545</v>
      </c>
      <c r="D422" s="88" t="s">
        <v>1778</v>
      </c>
      <c r="E422" s="88" t="b">
        <v>0</v>
      </c>
      <c r="F422" s="88" t="b">
        <v>0</v>
      </c>
      <c r="G422" s="88" t="b">
        <v>0</v>
      </c>
    </row>
    <row r="423" spans="1:7" ht="15">
      <c r="A423" s="83" t="s">
        <v>2677</v>
      </c>
      <c r="B423" s="88">
        <v>2</v>
      </c>
      <c r="C423" s="110">
        <v>0.005606136343104545</v>
      </c>
      <c r="D423" s="88" t="s">
        <v>1778</v>
      </c>
      <c r="E423" s="88" t="b">
        <v>0</v>
      </c>
      <c r="F423" s="88" t="b">
        <v>0</v>
      </c>
      <c r="G423" s="88" t="b">
        <v>0</v>
      </c>
    </row>
    <row r="424" spans="1:7" ht="15">
      <c r="A424" s="83" t="s">
        <v>1997</v>
      </c>
      <c r="B424" s="88">
        <v>2</v>
      </c>
      <c r="C424" s="110">
        <v>0.005606136343104545</v>
      </c>
      <c r="D424" s="88" t="s">
        <v>1778</v>
      </c>
      <c r="E424" s="88" t="b">
        <v>0</v>
      </c>
      <c r="F424" s="88" t="b">
        <v>0</v>
      </c>
      <c r="G424" s="88" t="b">
        <v>0</v>
      </c>
    </row>
    <row r="425" spans="1:7" ht="15">
      <c r="A425" s="83" t="s">
        <v>2545</v>
      </c>
      <c r="B425" s="88">
        <v>2</v>
      </c>
      <c r="C425" s="110">
        <v>0.005606136343104545</v>
      </c>
      <c r="D425" s="88" t="s">
        <v>1778</v>
      </c>
      <c r="E425" s="88" t="b">
        <v>0</v>
      </c>
      <c r="F425" s="88" t="b">
        <v>0</v>
      </c>
      <c r="G425" s="88" t="b">
        <v>0</v>
      </c>
    </row>
    <row r="426" spans="1:7" ht="15">
      <c r="A426" s="83" t="s">
        <v>2672</v>
      </c>
      <c r="B426" s="88">
        <v>2</v>
      </c>
      <c r="C426" s="110">
        <v>0.005606136343104545</v>
      </c>
      <c r="D426" s="88" t="s">
        <v>1778</v>
      </c>
      <c r="E426" s="88" t="b">
        <v>0</v>
      </c>
      <c r="F426" s="88" t="b">
        <v>0</v>
      </c>
      <c r="G426" s="88" t="b">
        <v>0</v>
      </c>
    </row>
    <row r="427" spans="1:7" ht="15">
      <c r="A427" s="83" t="s">
        <v>1972</v>
      </c>
      <c r="B427" s="88">
        <v>2</v>
      </c>
      <c r="C427" s="110">
        <v>0.005606136343104545</v>
      </c>
      <c r="D427" s="88" t="s">
        <v>1778</v>
      </c>
      <c r="E427" s="88" t="b">
        <v>0</v>
      </c>
      <c r="F427" s="88" t="b">
        <v>0</v>
      </c>
      <c r="G427" s="88" t="b">
        <v>0</v>
      </c>
    </row>
    <row r="428" spans="1:7" ht="15">
      <c r="A428" s="83" t="s">
        <v>2673</v>
      </c>
      <c r="B428" s="88">
        <v>2</v>
      </c>
      <c r="C428" s="110">
        <v>0.005606136343104545</v>
      </c>
      <c r="D428" s="88" t="s">
        <v>1778</v>
      </c>
      <c r="E428" s="88" t="b">
        <v>0</v>
      </c>
      <c r="F428" s="88" t="b">
        <v>0</v>
      </c>
      <c r="G428" s="88" t="b">
        <v>0</v>
      </c>
    </row>
    <row r="429" spans="1:7" ht="15">
      <c r="A429" s="83" t="s">
        <v>2433</v>
      </c>
      <c r="B429" s="88">
        <v>2</v>
      </c>
      <c r="C429" s="110">
        <v>0.005606136343104545</v>
      </c>
      <c r="D429" s="88" t="s">
        <v>1778</v>
      </c>
      <c r="E429" s="88" t="b">
        <v>0</v>
      </c>
      <c r="F429" s="88" t="b">
        <v>0</v>
      </c>
      <c r="G429" s="88" t="b">
        <v>0</v>
      </c>
    </row>
    <row r="430" spans="1:7" ht="15">
      <c r="A430" s="83" t="s">
        <v>2613</v>
      </c>
      <c r="B430" s="88">
        <v>2</v>
      </c>
      <c r="C430" s="110">
        <v>0.005606136343104545</v>
      </c>
      <c r="D430" s="88" t="s">
        <v>1778</v>
      </c>
      <c r="E430" s="88" t="b">
        <v>0</v>
      </c>
      <c r="F430" s="88" t="b">
        <v>0</v>
      </c>
      <c r="G430" s="88" t="b">
        <v>0</v>
      </c>
    </row>
    <row r="431" spans="1:7" ht="15">
      <c r="A431" s="83" t="s">
        <v>2028</v>
      </c>
      <c r="B431" s="88">
        <v>2</v>
      </c>
      <c r="C431" s="110">
        <v>0.005606136343104545</v>
      </c>
      <c r="D431" s="88" t="s">
        <v>1778</v>
      </c>
      <c r="E431" s="88" t="b">
        <v>0</v>
      </c>
      <c r="F431" s="88" t="b">
        <v>0</v>
      </c>
      <c r="G431" s="88" t="b">
        <v>0</v>
      </c>
    </row>
    <row r="432" spans="1:7" ht="15">
      <c r="A432" s="83" t="s">
        <v>2674</v>
      </c>
      <c r="B432" s="88">
        <v>2</v>
      </c>
      <c r="C432" s="110">
        <v>0.005606136343104545</v>
      </c>
      <c r="D432" s="88" t="s">
        <v>1778</v>
      </c>
      <c r="E432" s="88" t="b">
        <v>0</v>
      </c>
      <c r="F432" s="88" t="b">
        <v>0</v>
      </c>
      <c r="G432" s="88" t="b">
        <v>0</v>
      </c>
    </row>
    <row r="433" spans="1:7" ht="15">
      <c r="A433" s="83" t="s">
        <v>2675</v>
      </c>
      <c r="B433" s="88">
        <v>2</v>
      </c>
      <c r="C433" s="110">
        <v>0.005606136343104545</v>
      </c>
      <c r="D433" s="88" t="s">
        <v>1778</v>
      </c>
      <c r="E433" s="88" t="b">
        <v>0</v>
      </c>
      <c r="F433" s="88" t="b">
        <v>0</v>
      </c>
      <c r="G433" s="88" t="b">
        <v>0</v>
      </c>
    </row>
    <row r="434" spans="1:7" ht="15">
      <c r="A434" s="83" t="s">
        <v>2676</v>
      </c>
      <c r="B434" s="88">
        <v>2</v>
      </c>
      <c r="C434" s="110">
        <v>0.005606136343104545</v>
      </c>
      <c r="D434" s="88" t="s">
        <v>1778</v>
      </c>
      <c r="E434" s="88" t="b">
        <v>0</v>
      </c>
      <c r="F434" s="88" t="b">
        <v>0</v>
      </c>
      <c r="G434" s="88" t="b">
        <v>0</v>
      </c>
    </row>
    <row r="435" spans="1:7" ht="15">
      <c r="A435" s="83" t="s">
        <v>2544</v>
      </c>
      <c r="B435" s="88">
        <v>2</v>
      </c>
      <c r="C435" s="110">
        <v>0.005606136343104545</v>
      </c>
      <c r="D435" s="88" t="s">
        <v>1778</v>
      </c>
      <c r="E435" s="88" t="b">
        <v>0</v>
      </c>
      <c r="F435" s="88" t="b">
        <v>0</v>
      </c>
      <c r="G435" s="88" t="b">
        <v>0</v>
      </c>
    </row>
    <row r="436" spans="1:7" ht="15">
      <c r="A436" s="83" t="s">
        <v>2614</v>
      </c>
      <c r="B436" s="88">
        <v>2</v>
      </c>
      <c r="C436" s="110">
        <v>0.005606136343104545</v>
      </c>
      <c r="D436" s="88" t="s">
        <v>1778</v>
      </c>
      <c r="E436" s="88" t="b">
        <v>0</v>
      </c>
      <c r="F436" s="88" t="b">
        <v>0</v>
      </c>
      <c r="G436" s="88" t="b">
        <v>0</v>
      </c>
    </row>
    <row r="437" spans="1:7" ht="15">
      <c r="A437" s="83" t="s">
        <v>1984</v>
      </c>
      <c r="B437" s="88">
        <v>2</v>
      </c>
      <c r="C437" s="110">
        <v>0.007169928528371979</v>
      </c>
      <c r="D437" s="88" t="s">
        <v>1778</v>
      </c>
      <c r="E437" s="88" t="b">
        <v>0</v>
      </c>
      <c r="F437" s="88" t="b">
        <v>0</v>
      </c>
      <c r="G437" s="88" t="b">
        <v>0</v>
      </c>
    </row>
    <row r="438" spans="1:7" ht="15">
      <c r="A438" s="83" t="s">
        <v>2476</v>
      </c>
      <c r="B438" s="88">
        <v>2</v>
      </c>
      <c r="C438" s="110">
        <v>0.005606136343104545</v>
      </c>
      <c r="D438" s="88" t="s">
        <v>1778</v>
      </c>
      <c r="E438" s="88" t="b">
        <v>0</v>
      </c>
      <c r="F438" s="88" t="b">
        <v>0</v>
      </c>
      <c r="G438" s="88" t="b">
        <v>0</v>
      </c>
    </row>
    <row r="439" spans="1:7" ht="15">
      <c r="A439" s="83" t="s">
        <v>2618</v>
      </c>
      <c r="B439" s="88">
        <v>2</v>
      </c>
      <c r="C439" s="110">
        <v>0.005606136343104545</v>
      </c>
      <c r="D439" s="88" t="s">
        <v>1778</v>
      </c>
      <c r="E439" s="88" t="b">
        <v>0</v>
      </c>
      <c r="F439" s="88" t="b">
        <v>0</v>
      </c>
      <c r="G439" s="88" t="b">
        <v>0</v>
      </c>
    </row>
    <row r="440" spans="1:7" ht="15">
      <c r="A440" s="83" t="s">
        <v>2615</v>
      </c>
      <c r="B440" s="88">
        <v>2</v>
      </c>
      <c r="C440" s="110">
        <v>0.007169928528371979</v>
      </c>
      <c r="D440" s="88" t="s">
        <v>1778</v>
      </c>
      <c r="E440" s="88" t="b">
        <v>0</v>
      </c>
      <c r="F440" s="88" t="b">
        <v>0</v>
      </c>
      <c r="G440" s="88" t="b">
        <v>0</v>
      </c>
    </row>
    <row r="441" spans="1:7" ht="15">
      <c r="A441" s="83" t="s">
        <v>2612</v>
      </c>
      <c r="B441" s="88">
        <v>2</v>
      </c>
      <c r="C441" s="110">
        <v>0.007169928528371979</v>
      </c>
      <c r="D441" s="88" t="s">
        <v>1778</v>
      </c>
      <c r="E441" s="88" t="b">
        <v>0</v>
      </c>
      <c r="F441" s="88" t="b">
        <v>0</v>
      </c>
      <c r="G441" s="88" t="b">
        <v>0</v>
      </c>
    </row>
    <row r="442" spans="1:7" ht="15">
      <c r="A442" s="83" t="s">
        <v>1944</v>
      </c>
      <c r="B442" s="88">
        <v>14</v>
      </c>
      <c r="C442" s="110">
        <v>0.006386729603055795</v>
      </c>
      <c r="D442" s="88" t="s">
        <v>1779</v>
      </c>
      <c r="E442" s="88" t="b">
        <v>0</v>
      </c>
      <c r="F442" s="88" t="b">
        <v>0</v>
      </c>
      <c r="G442" s="88" t="b">
        <v>0</v>
      </c>
    </row>
    <row r="443" spans="1:7" ht="15">
      <c r="A443" s="83" t="s">
        <v>1984</v>
      </c>
      <c r="B443" s="88">
        <v>11</v>
      </c>
      <c r="C443" s="110">
        <v>0.008002830842830664</v>
      </c>
      <c r="D443" s="88" t="s">
        <v>1779</v>
      </c>
      <c r="E443" s="88" t="b">
        <v>0</v>
      </c>
      <c r="F443" s="88" t="b">
        <v>0</v>
      </c>
      <c r="G443" s="88" t="b">
        <v>0</v>
      </c>
    </row>
    <row r="444" spans="1:7" ht="15">
      <c r="A444" s="83" t="s">
        <v>1964</v>
      </c>
      <c r="B444" s="88">
        <v>9</v>
      </c>
      <c r="C444" s="110">
        <v>0.008579769605314378</v>
      </c>
      <c r="D444" s="88" t="s">
        <v>1779</v>
      </c>
      <c r="E444" s="88" t="b">
        <v>0</v>
      </c>
      <c r="F444" s="88" t="b">
        <v>0</v>
      </c>
      <c r="G444" s="88" t="b">
        <v>0</v>
      </c>
    </row>
    <row r="445" spans="1:7" ht="15">
      <c r="A445" s="83" t="s">
        <v>1965</v>
      </c>
      <c r="B445" s="88">
        <v>9</v>
      </c>
      <c r="C445" s="110">
        <v>0.008579769605314378</v>
      </c>
      <c r="D445" s="88" t="s">
        <v>1779</v>
      </c>
      <c r="E445" s="88" t="b">
        <v>0</v>
      </c>
      <c r="F445" s="88" t="b">
        <v>0</v>
      </c>
      <c r="G445" s="88" t="b">
        <v>0</v>
      </c>
    </row>
    <row r="446" spans="1:7" ht="15">
      <c r="A446" s="83" t="s">
        <v>1985</v>
      </c>
      <c r="B446" s="88">
        <v>7</v>
      </c>
      <c r="C446" s="110">
        <v>0.013059883740522533</v>
      </c>
      <c r="D446" s="88" t="s">
        <v>1779</v>
      </c>
      <c r="E446" s="88" t="b">
        <v>0</v>
      </c>
      <c r="F446" s="88" t="b">
        <v>0</v>
      </c>
      <c r="G446" s="88" t="b">
        <v>0</v>
      </c>
    </row>
    <row r="447" spans="1:7" ht="15">
      <c r="A447" s="83" t="s">
        <v>1986</v>
      </c>
      <c r="B447" s="88">
        <v>7</v>
      </c>
      <c r="C447" s="110">
        <v>0.008652457987144136</v>
      </c>
      <c r="D447" s="88" t="s">
        <v>1779</v>
      </c>
      <c r="E447" s="88" t="b">
        <v>0</v>
      </c>
      <c r="F447" s="88" t="b">
        <v>0</v>
      </c>
      <c r="G447" s="88" t="b">
        <v>0</v>
      </c>
    </row>
    <row r="448" spans="1:7" ht="15">
      <c r="A448" s="83" t="s">
        <v>1968</v>
      </c>
      <c r="B448" s="88">
        <v>7</v>
      </c>
      <c r="C448" s="110">
        <v>0.008652457987144136</v>
      </c>
      <c r="D448" s="88" t="s">
        <v>1779</v>
      </c>
      <c r="E448" s="88" t="b">
        <v>0</v>
      </c>
      <c r="F448" s="88" t="b">
        <v>0</v>
      </c>
      <c r="G448" s="88" t="b">
        <v>0</v>
      </c>
    </row>
    <row r="449" spans="1:7" ht="15">
      <c r="A449" s="83" t="s">
        <v>1987</v>
      </c>
      <c r="B449" s="88">
        <v>6</v>
      </c>
      <c r="C449" s="110">
        <v>0.013136238963952178</v>
      </c>
      <c r="D449" s="88" t="s">
        <v>1779</v>
      </c>
      <c r="E449" s="88" t="b">
        <v>0</v>
      </c>
      <c r="F449" s="88" t="b">
        <v>0</v>
      </c>
      <c r="G449" s="88" t="b">
        <v>0</v>
      </c>
    </row>
    <row r="450" spans="1:7" ht="15">
      <c r="A450" s="83" t="s">
        <v>1988</v>
      </c>
      <c r="B450" s="88">
        <v>6</v>
      </c>
      <c r="C450" s="110">
        <v>0.013136238963952178</v>
      </c>
      <c r="D450" s="88" t="s">
        <v>1779</v>
      </c>
      <c r="E450" s="88" t="b">
        <v>0</v>
      </c>
      <c r="F450" s="88" t="b">
        <v>0</v>
      </c>
      <c r="G450" s="88" t="b">
        <v>0</v>
      </c>
    </row>
    <row r="451" spans="1:7" ht="15">
      <c r="A451" s="83" t="s">
        <v>1967</v>
      </c>
      <c r="B451" s="88">
        <v>5</v>
      </c>
      <c r="C451" s="110">
        <v>0.008073177336760369</v>
      </c>
      <c r="D451" s="88" t="s">
        <v>1779</v>
      </c>
      <c r="E451" s="88" t="b">
        <v>0</v>
      </c>
      <c r="F451" s="88" t="b">
        <v>0</v>
      </c>
      <c r="G451" s="88" t="b">
        <v>0</v>
      </c>
    </row>
    <row r="452" spans="1:7" ht="15">
      <c r="A452" s="83" t="s">
        <v>1969</v>
      </c>
      <c r="B452" s="88">
        <v>5</v>
      </c>
      <c r="C452" s="110">
        <v>0.008073177336760369</v>
      </c>
      <c r="D452" s="88" t="s">
        <v>1779</v>
      </c>
      <c r="E452" s="88" t="b">
        <v>0</v>
      </c>
      <c r="F452" s="88" t="b">
        <v>0</v>
      </c>
      <c r="G452" s="88" t="b">
        <v>0</v>
      </c>
    </row>
    <row r="453" spans="1:7" ht="15">
      <c r="A453" s="83" t="s">
        <v>2442</v>
      </c>
      <c r="B453" s="88">
        <v>5</v>
      </c>
      <c r="C453" s="110">
        <v>0.008073177336760369</v>
      </c>
      <c r="D453" s="88" t="s">
        <v>1779</v>
      </c>
      <c r="E453" s="88" t="b">
        <v>0</v>
      </c>
      <c r="F453" s="88" t="b">
        <v>0</v>
      </c>
      <c r="G453" s="88" t="b">
        <v>0</v>
      </c>
    </row>
    <row r="454" spans="1:7" ht="15">
      <c r="A454" s="83" t="s">
        <v>2441</v>
      </c>
      <c r="B454" s="88">
        <v>4</v>
      </c>
      <c r="C454" s="110">
        <v>0.00746279070887002</v>
      </c>
      <c r="D454" s="88" t="s">
        <v>1779</v>
      </c>
      <c r="E454" s="88" t="b">
        <v>0</v>
      </c>
      <c r="F454" s="88" t="b">
        <v>0</v>
      </c>
      <c r="G454" s="88" t="b">
        <v>0</v>
      </c>
    </row>
    <row r="455" spans="1:7" ht="15">
      <c r="A455" s="83" t="s">
        <v>2012</v>
      </c>
      <c r="B455" s="88">
        <v>4</v>
      </c>
      <c r="C455" s="110">
        <v>0.00746279070887002</v>
      </c>
      <c r="D455" s="88" t="s">
        <v>1779</v>
      </c>
      <c r="E455" s="88" t="b">
        <v>0</v>
      </c>
      <c r="F455" s="88" t="b">
        <v>0</v>
      </c>
      <c r="G455" s="88" t="b">
        <v>0</v>
      </c>
    </row>
    <row r="456" spans="1:7" ht="15">
      <c r="A456" s="83" t="s">
        <v>2003</v>
      </c>
      <c r="B456" s="88">
        <v>4</v>
      </c>
      <c r="C456" s="110">
        <v>0.00746279070887002</v>
      </c>
      <c r="D456" s="88" t="s">
        <v>1779</v>
      </c>
      <c r="E456" s="88" t="b">
        <v>0</v>
      </c>
      <c r="F456" s="88" t="b">
        <v>0</v>
      </c>
      <c r="G456" s="88" t="b">
        <v>0</v>
      </c>
    </row>
    <row r="457" spans="1:7" ht="15">
      <c r="A457" s="83" t="s">
        <v>2444</v>
      </c>
      <c r="B457" s="88">
        <v>4</v>
      </c>
      <c r="C457" s="110">
        <v>0.00746279070887002</v>
      </c>
      <c r="D457" s="88" t="s">
        <v>1779</v>
      </c>
      <c r="E457" s="88" t="b">
        <v>0</v>
      </c>
      <c r="F457" s="88" t="b">
        <v>0</v>
      </c>
      <c r="G457" s="88" t="b">
        <v>0</v>
      </c>
    </row>
    <row r="458" spans="1:7" ht="15">
      <c r="A458" s="83" t="s">
        <v>2478</v>
      </c>
      <c r="B458" s="88">
        <v>4</v>
      </c>
      <c r="C458" s="110">
        <v>0.00746279070887002</v>
      </c>
      <c r="D458" s="88" t="s">
        <v>1779</v>
      </c>
      <c r="E458" s="88" t="b">
        <v>0</v>
      </c>
      <c r="F458" s="88" t="b">
        <v>0</v>
      </c>
      <c r="G458" s="88" t="b">
        <v>0</v>
      </c>
    </row>
    <row r="459" spans="1:7" ht="15">
      <c r="A459" s="83" t="s">
        <v>2479</v>
      </c>
      <c r="B459" s="88">
        <v>4</v>
      </c>
      <c r="C459" s="110">
        <v>0.00746279070887002</v>
      </c>
      <c r="D459" s="88" t="s">
        <v>1779</v>
      </c>
      <c r="E459" s="88" t="b">
        <v>0</v>
      </c>
      <c r="F459" s="88" t="b">
        <v>0</v>
      </c>
      <c r="G459" s="88" t="b">
        <v>0</v>
      </c>
    </row>
    <row r="460" spans="1:7" ht="15">
      <c r="A460" s="83" t="s">
        <v>2480</v>
      </c>
      <c r="B460" s="88">
        <v>4</v>
      </c>
      <c r="C460" s="110">
        <v>0.00746279070887002</v>
      </c>
      <c r="D460" s="88" t="s">
        <v>1779</v>
      </c>
      <c r="E460" s="88" t="b">
        <v>0</v>
      </c>
      <c r="F460" s="88" t="b">
        <v>0</v>
      </c>
      <c r="G460" s="88" t="b">
        <v>0</v>
      </c>
    </row>
    <row r="461" spans="1:7" ht="15">
      <c r="A461" s="83" t="s">
        <v>2481</v>
      </c>
      <c r="B461" s="88">
        <v>4</v>
      </c>
      <c r="C461" s="110">
        <v>0.00746279070887002</v>
      </c>
      <c r="D461" s="88" t="s">
        <v>1779</v>
      </c>
      <c r="E461" s="88" t="b">
        <v>0</v>
      </c>
      <c r="F461" s="88" t="b">
        <v>0</v>
      </c>
      <c r="G461" s="88" t="b">
        <v>0</v>
      </c>
    </row>
    <row r="462" spans="1:7" ht="15">
      <c r="A462" s="83" t="s">
        <v>2482</v>
      </c>
      <c r="B462" s="88">
        <v>4</v>
      </c>
      <c r="C462" s="110">
        <v>0.00746279070887002</v>
      </c>
      <c r="D462" s="88" t="s">
        <v>1779</v>
      </c>
      <c r="E462" s="88" t="b">
        <v>0</v>
      </c>
      <c r="F462" s="88" t="b">
        <v>0</v>
      </c>
      <c r="G462" s="88" t="b">
        <v>0</v>
      </c>
    </row>
    <row r="463" spans="1:7" ht="15">
      <c r="A463" s="83" t="s">
        <v>2483</v>
      </c>
      <c r="B463" s="88">
        <v>4</v>
      </c>
      <c r="C463" s="110">
        <v>0.00746279070887002</v>
      </c>
      <c r="D463" s="88" t="s">
        <v>1779</v>
      </c>
      <c r="E463" s="88" t="b">
        <v>0</v>
      </c>
      <c r="F463" s="88" t="b">
        <v>0</v>
      </c>
      <c r="G463" s="88" t="b">
        <v>0</v>
      </c>
    </row>
    <row r="464" spans="1:7" ht="15">
      <c r="A464" s="83" t="s">
        <v>2484</v>
      </c>
      <c r="B464" s="88">
        <v>4</v>
      </c>
      <c r="C464" s="110">
        <v>0.00746279070887002</v>
      </c>
      <c r="D464" s="88" t="s">
        <v>1779</v>
      </c>
      <c r="E464" s="88" t="b">
        <v>0</v>
      </c>
      <c r="F464" s="88" t="b">
        <v>0</v>
      </c>
      <c r="G464" s="88" t="b">
        <v>0</v>
      </c>
    </row>
    <row r="465" spans="1:7" ht="15">
      <c r="A465" s="83" t="s">
        <v>2467</v>
      </c>
      <c r="B465" s="88">
        <v>4</v>
      </c>
      <c r="C465" s="110">
        <v>0.00746279070887002</v>
      </c>
      <c r="D465" s="88" t="s">
        <v>1779</v>
      </c>
      <c r="E465" s="88" t="b">
        <v>1</v>
      </c>
      <c r="F465" s="88" t="b">
        <v>0</v>
      </c>
      <c r="G465" s="88" t="b">
        <v>0</v>
      </c>
    </row>
    <row r="466" spans="1:7" ht="15">
      <c r="A466" s="83" t="s">
        <v>1997</v>
      </c>
      <c r="B466" s="88">
        <v>4</v>
      </c>
      <c r="C466" s="110">
        <v>0.00746279070887002</v>
      </c>
      <c r="D466" s="88" t="s">
        <v>1779</v>
      </c>
      <c r="E466" s="88" t="b">
        <v>0</v>
      </c>
      <c r="F466" s="88" t="b">
        <v>0</v>
      </c>
      <c r="G466" s="88" t="b">
        <v>0</v>
      </c>
    </row>
    <row r="467" spans="1:7" ht="15">
      <c r="A467" s="83" t="s">
        <v>2485</v>
      </c>
      <c r="B467" s="88">
        <v>4</v>
      </c>
      <c r="C467" s="110">
        <v>0.00746279070887002</v>
      </c>
      <c r="D467" s="88" t="s">
        <v>1779</v>
      </c>
      <c r="E467" s="88" t="b">
        <v>0</v>
      </c>
      <c r="F467" s="88" t="b">
        <v>0</v>
      </c>
      <c r="G467" s="88" t="b">
        <v>0</v>
      </c>
    </row>
    <row r="468" spans="1:7" ht="15">
      <c r="A468" s="83" t="s">
        <v>2468</v>
      </c>
      <c r="B468" s="88">
        <v>4</v>
      </c>
      <c r="C468" s="110">
        <v>0.00746279070887002</v>
      </c>
      <c r="D468" s="88" t="s">
        <v>1779</v>
      </c>
      <c r="E468" s="88" t="b">
        <v>0</v>
      </c>
      <c r="F468" s="88" t="b">
        <v>0</v>
      </c>
      <c r="G468" s="88" t="b">
        <v>0</v>
      </c>
    </row>
    <row r="469" spans="1:7" ht="15">
      <c r="A469" s="83" t="s">
        <v>2486</v>
      </c>
      <c r="B469" s="88">
        <v>4</v>
      </c>
      <c r="C469" s="110">
        <v>0.00746279070887002</v>
      </c>
      <c r="D469" s="88" t="s">
        <v>1779</v>
      </c>
      <c r="E469" s="88" t="b">
        <v>0</v>
      </c>
      <c r="F469" s="88" t="b">
        <v>0</v>
      </c>
      <c r="G469" s="88" t="b">
        <v>0</v>
      </c>
    </row>
    <row r="470" spans="1:7" ht="15">
      <c r="A470" s="83" t="s">
        <v>381</v>
      </c>
      <c r="B470" s="88">
        <v>4</v>
      </c>
      <c r="C470" s="110">
        <v>0.00746279070887002</v>
      </c>
      <c r="D470" s="88" t="s">
        <v>1779</v>
      </c>
      <c r="E470" s="88" t="b">
        <v>0</v>
      </c>
      <c r="F470" s="88" t="b">
        <v>0</v>
      </c>
      <c r="G470" s="88" t="b">
        <v>0</v>
      </c>
    </row>
    <row r="471" spans="1:7" ht="15">
      <c r="A471" s="83" t="s">
        <v>380</v>
      </c>
      <c r="B471" s="88">
        <v>4</v>
      </c>
      <c r="C471" s="110">
        <v>0.00746279070887002</v>
      </c>
      <c r="D471" s="88" t="s">
        <v>1779</v>
      </c>
      <c r="E471" s="88" t="b">
        <v>0</v>
      </c>
      <c r="F471" s="88" t="b">
        <v>0</v>
      </c>
      <c r="G471" s="88" t="b">
        <v>0</v>
      </c>
    </row>
    <row r="472" spans="1:7" ht="15">
      <c r="A472" s="83" t="s">
        <v>2487</v>
      </c>
      <c r="B472" s="88">
        <v>4</v>
      </c>
      <c r="C472" s="110">
        <v>0.00746279070887002</v>
      </c>
      <c r="D472" s="88" t="s">
        <v>1779</v>
      </c>
      <c r="E472" s="88" t="b">
        <v>1</v>
      </c>
      <c r="F472" s="88" t="b">
        <v>0</v>
      </c>
      <c r="G472" s="88" t="b">
        <v>0</v>
      </c>
    </row>
    <row r="473" spans="1:7" ht="15">
      <c r="A473" s="83" t="s">
        <v>2488</v>
      </c>
      <c r="B473" s="88">
        <v>4</v>
      </c>
      <c r="C473" s="110">
        <v>0.00746279070887002</v>
      </c>
      <c r="D473" s="88" t="s">
        <v>1779</v>
      </c>
      <c r="E473" s="88" t="b">
        <v>1</v>
      </c>
      <c r="F473" s="88" t="b">
        <v>0</v>
      </c>
      <c r="G473" s="88" t="b">
        <v>0</v>
      </c>
    </row>
    <row r="474" spans="1:7" ht="15">
      <c r="A474" s="83" t="s">
        <v>2489</v>
      </c>
      <c r="B474" s="88">
        <v>4</v>
      </c>
      <c r="C474" s="110">
        <v>0.00746279070887002</v>
      </c>
      <c r="D474" s="88" t="s">
        <v>1779</v>
      </c>
      <c r="E474" s="88" t="b">
        <v>0</v>
      </c>
      <c r="F474" s="88" t="b">
        <v>0</v>
      </c>
      <c r="G474" s="88" t="b">
        <v>0</v>
      </c>
    </row>
    <row r="475" spans="1:7" ht="15">
      <c r="A475" s="83" t="s">
        <v>2475</v>
      </c>
      <c r="B475" s="88">
        <v>4</v>
      </c>
      <c r="C475" s="110">
        <v>0.00746279070887002</v>
      </c>
      <c r="D475" s="88" t="s">
        <v>1779</v>
      </c>
      <c r="E475" s="88" t="b">
        <v>0</v>
      </c>
      <c r="F475" s="88" t="b">
        <v>0</v>
      </c>
      <c r="G475" s="88" t="b">
        <v>0</v>
      </c>
    </row>
    <row r="476" spans="1:7" ht="15">
      <c r="A476" s="83" t="s">
        <v>2524</v>
      </c>
      <c r="B476" s="88">
        <v>3</v>
      </c>
      <c r="C476" s="110">
        <v>0.006568119481976089</v>
      </c>
      <c r="D476" s="88" t="s">
        <v>1779</v>
      </c>
      <c r="E476" s="88" t="b">
        <v>0</v>
      </c>
      <c r="F476" s="88" t="b">
        <v>0</v>
      </c>
      <c r="G476" s="88" t="b">
        <v>0</v>
      </c>
    </row>
    <row r="477" spans="1:7" ht="15">
      <c r="A477" s="83" t="s">
        <v>2525</v>
      </c>
      <c r="B477" s="88">
        <v>3</v>
      </c>
      <c r="C477" s="110">
        <v>0.006568119481976089</v>
      </c>
      <c r="D477" s="88" t="s">
        <v>1779</v>
      </c>
      <c r="E477" s="88" t="b">
        <v>0</v>
      </c>
      <c r="F477" s="88" t="b">
        <v>0</v>
      </c>
      <c r="G477" s="88" t="b">
        <v>0</v>
      </c>
    </row>
    <row r="478" spans="1:7" ht="15">
      <c r="A478" s="83" t="s">
        <v>2526</v>
      </c>
      <c r="B478" s="88">
        <v>3</v>
      </c>
      <c r="C478" s="110">
        <v>0.006568119481976089</v>
      </c>
      <c r="D478" s="88" t="s">
        <v>1779</v>
      </c>
      <c r="E478" s="88" t="b">
        <v>0</v>
      </c>
      <c r="F478" s="88" t="b">
        <v>0</v>
      </c>
      <c r="G478" s="88" t="b">
        <v>0</v>
      </c>
    </row>
    <row r="479" spans="1:7" ht="15">
      <c r="A479" s="83" t="s">
        <v>2434</v>
      </c>
      <c r="B479" s="88">
        <v>3</v>
      </c>
      <c r="C479" s="110">
        <v>0.006568119481976089</v>
      </c>
      <c r="D479" s="88" t="s">
        <v>1779</v>
      </c>
      <c r="E479" s="88" t="b">
        <v>0</v>
      </c>
      <c r="F479" s="88" t="b">
        <v>0</v>
      </c>
      <c r="G479" s="88" t="b">
        <v>0</v>
      </c>
    </row>
    <row r="480" spans="1:7" ht="15">
      <c r="A480" s="83" t="s">
        <v>2527</v>
      </c>
      <c r="B480" s="88">
        <v>3</v>
      </c>
      <c r="C480" s="110">
        <v>0.006568119481976089</v>
      </c>
      <c r="D480" s="88" t="s">
        <v>1779</v>
      </c>
      <c r="E480" s="88" t="b">
        <v>0</v>
      </c>
      <c r="F480" s="88" t="b">
        <v>0</v>
      </c>
      <c r="G480" s="88" t="b">
        <v>0</v>
      </c>
    </row>
    <row r="481" spans="1:7" ht="15">
      <c r="A481" s="83" t="s">
        <v>2528</v>
      </c>
      <c r="B481" s="88">
        <v>3</v>
      </c>
      <c r="C481" s="110">
        <v>0.006568119481976089</v>
      </c>
      <c r="D481" s="88" t="s">
        <v>1779</v>
      </c>
      <c r="E481" s="88" t="b">
        <v>0</v>
      </c>
      <c r="F481" s="88" t="b">
        <v>0</v>
      </c>
      <c r="G481" s="88" t="b">
        <v>0</v>
      </c>
    </row>
    <row r="482" spans="1:7" ht="15">
      <c r="A482" s="83" t="s">
        <v>2490</v>
      </c>
      <c r="B482" s="88">
        <v>3</v>
      </c>
      <c r="C482" s="110">
        <v>0.006568119481976089</v>
      </c>
      <c r="D482" s="88" t="s">
        <v>1779</v>
      </c>
      <c r="E482" s="88" t="b">
        <v>0</v>
      </c>
      <c r="F482" s="88" t="b">
        <v>0</v>
      </c>
      <c r="G482" s="88" t="b">
        <v>0</v>
      </c>
    </row>
    <row r="483" spans="1:7" ht="15">
      <c r="A483" s="83" t="s">
        <v>2529</v>
      </c>
      <c r="B483" s="88">
        <v>3</v>
      </c>
      <c r="C483" s="110">
        <v>0.006568119481976089</v>
      </c>
      <c r="D483" s="88" t="s">
        <v>1779</v>
      </c>
      <c r="E483" s="88" t="b">
        <v>0</v>
      </c>
      <c r="F483" s="88" t="b">
        <v>0</v>
      </c>
      <c r="G483" s="88" t="b">
        <v>0</v>
      </c>
    </row>
    <row r="484" spans="1:7" ht="15">
      <c r="A484" s="83" t="s">
        <v>2530</v>
      </c>
      <c r="B484" s="88">
        <v>3</v>
      </c>
      <c r="C484" s="110">
        <v>0.006568119481976089</v>
      </c>
      <c r="D484" s="88" t="s">
        <v>1779</v>
      </c>
      <c r="E484" s="88" t="b">
        <v>0</v>
      </c>
      <c r="F484" s="88" t="b">
        <v>0</v>
      </c>
      <c r="G484" s="88" t="b">
        <v>0</v>
      </c>
    </row>
    <row r="485" spans="1:7" ht="15">
      <c r="A485" s="83" t="s">
        <v>2491</v>
      </c>
      <c r="B485" s="88">
        <v>3</v>
      </c>
      <c r="C485" s="110">
        <v>0.006568119481976089</v>
      </c>
      <c r="D485" s="88" t="s">
        <v>1779</v>
      </c>
      <c r="E485" s="88" t="b">
        <v>0</v>
      </c>
      <c r="F485" s="88" t="b">
        <v>0</v>
      </c>
      <c r="G485" s="88" t="b">
        <v>0</v>
      </c>
    </row>
    <row r="486" spans="1:7" ht="15">
      <c r="A486" s="83" t="s">
        <v>2531</v>
      </c>
      <c r="B486" s="88">
        <v>3</v>
      </c>
      <c r="C486" s="110">
        <v>0.006568119481976089</v>
      </c>
      <c r="D486" s="88" t="s">
        <v>1779</v>
      </c>
      <c r="E486" s="88" t="b">
        <v>0</v>
      </c>
      <c r="F486" s="88" t="b">
        <v>0</v>
      </c>
      <c r="G486" s="88" t="b">
        <v>0</v>
      </c>
    </row>
    <row r="487" spans="1:7" ht="15">
      <c r="A487" s="83" t="s">
        <v>2532</v>
      </c>
      <c r="B487" s="88">
        <v>3</v>
      </c>
      <c r="C487" s="110">
        <v>0.006568119481976089</v>
      </c>
      <c r="D487" s="88" t="s">
        <v>1779</v>
      </c>
      <c r="E487" s="88" t="b">
        <v>0</v>
      </c>
      <c r="F487" s="88" t="b">
        <v>0</v>
      </c>
      <c r="G487" s="88" t="b">
        <v>0</v>
      </c>
    </row>
    <row r="488" spans="1:7" ht="15">
      <c r="A488" s="83" t="s">
        <v>2533</v>
      </c>
      <c r="B488" s="88">
        <v>3</v>
      </c>
      <c r="C488" s="110">
        <v>0.006568119481976089</v>
      </c>
      <c r="D488" s="88" t="s">
        <v>1779</v>
      </c>
      <c r="E488" s="88" t="b">
        <v>0</v>
      </c>
      <c r="F488" s="88" t="b">
        <v>0</v>
      </c>
      <c r="G488" s="88" t="b">
        <v>0</v>
      </c>
    </row>
    <row r="489" spans="1:7" ht="15">
      <c r="A489" s="83" t="s">
        <v>2534</v>
      </c>
      <c r="B489" s="88">
        <v>3</v>
      </c>
      <c r="C489" s="110">
        <v>0.006568119481976089</v>
      </c>
      <c r="D489" s="88" t="s">
        <v>1779</v>
      </c>
      <c r="E489" s="88" t="b">
        <v>0</v>
      </c>
      <c r="F489" s="88" t="b">
        <v>0</v>
      </c>
      <c r="G489" s="88" t="b">
        <v>0</v>
      </c>
    </row>
    <row r="490" spans="1:7" ht="15">
      <c r="A490" s="83" t="s">
        <v>2535</v>
      </c>
      <c r="B490" s="88">
        <v>3</v>
      </c>
      <c r="C490" s="110">
        <v>0.006568119481976089</v>
      </c>
      <c r="D490" s="88" t="s">
        <v>1779</v>
      </c>
      <c r="E490" s="88" t="b">
        <v>0</v>
      </c>
      <c r="F490" s="88" t="b">
        <v>0</v>
      </c>
      <c r="G490" s="88" t="b">
        <v>0</v>
      </c>
    </row>
    <row r="491" spans="1:7" ht="15">
      <c r="A491" s="83" t="s">
        <v>2514</v>
      </c>
      <c r="B491" s="88">
        <v>3</v>
      </c>
      <c r="C491" s="110">
        <v>0.006568119481976089</v>
      </c>
      <c r="D491" s="88" t="s">
        <v>1779</v>
      </c>
      <c r="E491" s="88" t="b">
        <v>0</v>
      </c>
      <c r="F491" s="88" t="b">
        <v>0</v>
      </c>
      <c r="G491" s="88" t="b">
        <v>0</v>
      </c>
    </row>
    <row r="492" spans="1:7" ht="15">
      <c r="A492" s="83" t="s">
        <v>1991</v>
      </c>
      <c r="B492" s="88">
        <v>3</v>
      </c>
      <c r="C492" s="110">
        <v>0.006568119481976089</v>
      </c>
      <c r="D492" s="88" t="s">
        <v>1779</v>
      </c>
      <c r="E492" s="88" t="b">
        <v>0</v>
      </c>
      <c r="F492" s="88" t="b">
        <v>0</v>
      </c>
      <c r="G492" s="88" t="b">
        <v>0</v>
      </c>
    </row>
    <row r="493" spans="1:7" ht="15">
      <c r="A493" s="83" t="s">
        <v>2515</v>
      </c>
      <c r="B493" s="88">
        <v>3</v>
      </c>
      <c r="C493" s="110">
        <v>0.006568119481976089</v>
      </c>
      <c r="D493" s="88" t="s">
        <v>1779</v>
      </c>
      <c r="E493" s="88" t="b">
        <v>0</v>
      </c>
      <c r="F493" s="88" t="b">
        <v>0</v>
      </c>
      <c r="G493" s="88" t="b">
        <v>0</v>
      </c>
    </row>
    <row r="494" spans="1:7" ht="15">
      <c r="A494" s="83" t="s">
        <v>2516</v>
      </c>
      <c r="B494" s="88">
        <v>3</v>
      </c>
      <c r="C494" s="110">
        <v>0.006568119481976089</v>
      </c>
      <c r="D494" s="88" t="s">
        <v>1779</v>
      </c>
      <c r="E494" s="88" t="b">
        <v>0</v>
      </c>
      <c r="F494" s="88" t="b">
        <v>0</v>
      </c>
      <c r="G494" s="88" t="b">
        <v>0</v>
      </c>
    </row>
    <row r="495" spans="1:7" ht="15">
      <c r="A495" s="83" t="s">
        <v>2517</v>
      </c>
      <c r="B495" s="88">
        <v>3</v>
      </c>
      <c r="C495" s="110">
        <v>0.006568119481976089</v>
      </c>
      <c r="D495" s="88" t="s">
        <v>1779</v>
      </c>
      <c r="E495" s="88" t="b">
        <v>0</v>
      </c>
      <c r="F495" s="88" t="b">
        <v>0</v>
      </c>
      <c r="G495" s="88" t="b">
        <v>0</v>
      </c>
    </row>
    <row r="496" spans="1:7" ht="15">
      <c r="A496" s="83" t="s">
        <v>2436</v>
      </c>
      <c r="B496" s="88">
        <v>3</v>
      </c>
      <c r="C496" s="110">
        <v>0.006568119481976089</v>
      </c>
      <c r="D496" s="88" t="s">
        <v>1779</v>
      </c>
      <c r="E496" s="88" t="b">
        <v>0</v>
      </c>
      <c r="F496" s="88" t="b">
        <v>0</v>
      </c>
      <c r="G496" s="88" t="b">
        <v>0</v>
      </c>
    </row>
    <row r="497" spans="1:7" ht="15">
      <c r="A497" s="83" t="s">
        <v>2518</v>
      </c>
      <c r="B497" s="88">
        <v>3</v>
      </c>
      <c r="C497" s="110">
        <v>0.006568119481976089</v>
      </c>
      <c r="D497" s="88" t="s">
        <v>1779</v>
      </c>
      <c r="E497" s="88" t="b">
        <v>0</v>
      </c>
      <c r="F497" s="88" t="b">
        <v>0</v>
      </c>
      <c r="G497" s="88" t="b">
        <v>0</v>
      </c>
    </row>
    <row r="498" spans="1:7" ht="15">
      <c r="A498" s="83" t="s">
        <v>2519</v>
      </c>
      <c r="B498" s="88">
        <v>3</v>
      </c>
      <c r="C498" s="110">
        <v>0.006568119481976089</v>
      </c>
      <c r="D498" s="88" t="s">
        <v>1779</v>
      </c>
      <c r="E498" s="88" t="b">
        <v>1</v>
      </c>
      <c r="F498" s="88" t="b">
        <v>0</v>
      </c>
      <c r="G498" s="88" t="b">
        <v>0</v>
      </c>
    </row>
    <row r="499" spans="1:7" ht="15">
      <c r="A499" s="83" t="s">
        <v>2520</v>
      </c>
      <c r="B499" s="88">
        <v>3</v>
      </c>
      <c r="C499" s="110">
        <v>0.006568119481976089</v>
      </c>
      <c r="D499" s="88" t="s">
        <v>1779</v>
      </c>
      <c r="E499" s="88" t="b">
        <v>0</v>
      </c>
      <c r="F499" s="88" t="b">
        <v>0</v>
      </c>
      <c r="G499" s="88" t="b">
        <v>0</v>
      </c>
    </row>
    <row r="500" spans="1:7" ht="15">
      <c r="A500" s="83" t="s">
        <v>2521</v>
      </c>
      <c r="B500" s="88">
        <v>3</v>
      </c>
      <c r="C500" s="110">
        <v>0.006568119481976089</v>
      </c>
      <c r="D500" s="88" t="s">
        <v>1779</v>
      </c>
      <c r="E500" s="88" t="b">
        <v>0</v>
      </c>
      <c r="F500" s="88" t="b">
        <v>0</v>
      </c>
      <c r="G500" s="88" t="b">
        <v>0</v>
      </c>
    </row>
    <row r="501" spans="1:7" ht="15">
      <c r="A501" s="83" t="s">
        <v>2522</v>
      </c>
      <c r="B501" s="88">
        <v>3</v>
      </c>
      <c r="C501" s="110">
        <v>0.006568119481976089</v>
      </c>
      <c r="D501" s="88" t="s">
        <v>1779</v>
      </c>
      <c r="E501" s="88" t="b">
        <v>0</v>
      </c>
      <c r="F501" s="88" t="b">
        <v>0</v>
      </c>
      <c r="G501" s="88" t="b">
        <v>0</v>
      </c>
    </row>
    <row r="502" spans="1:7" ht="15">
      <c r="A502" s="83" t="s">
        <v>2477</v>
      </c>
      <c r="B502" s="88">
        <v>3</v>
      </c>
      <c r="C502" s="110">
        <v>0.006568119481976089</v>
      </c>
      <c r="D502" s="88" t="s">
        <v>1779</v>
      </c>
      <c r="E502" s="88" t="b">
        <v>1</v>
      </c>
      <c r="F502" s="88" t="b">
        <v>0</v>
      </c>
      <c r="G502" s="88" t="b">
        <v>0</v>
      </c>
    </row>
    <row r="503" spans="1:7" ht="15">
      <c r="A503" s="83" t="s">
        <v>2523</v>
      </c>
      <c r="B503" s="88">
        <v>3</v>
      </c>
      <c r="C503" s="110">
        <v>0.006568119481976089</v>
      </c>
      <c r="D503" s="88" t="s">
        <v>1779</v>
      </c>
      <c r="E503" s="88" t="b">
        <v>0</v>
      </c>
      <c r="F503" s="88" t="b">
        <v>0</v>
      </c>
      <c r="G503" s="88" t="b">
        <v>0</v>
      </c>
    </row>
    <row r="504" spans="1:7" ht="15">
      <c r="A504" s="83" t="s">
        <v>1992</v>
      </c>
      <c r="B504" s="88">
        <v>3</v>
      </c>
      <c r="C504" s="110">
        <v>0.006568119481976089</v>
      </c>
      <c r="D504" s="88" t="s">
        <v>1779</v>
      </c>
      <c r="E504" s="88" t="b">
        <v>0</v>
      </c>
      <c r="F504" s="88" t="b">
        <v>0</v>
      </c>
      <c r="G504" s="88" t="b">
        <v>0</v>
      </c>
    </row>
    <row r="505" spans="1:7" ht="15">
      <c r="A505" s="83" t="s">
        <v>1993</v>
      </c>
      <c r="B505" s="88">
        <v>3</v>
      </c>
      <c r="C505" s="110">
        <v>0.006568119481976089</v>
      </c>
      <c r="D505" s="88" t="s">
        <v>1779</v>
      </c>
      <c r="E505" s="88" t="b">
        <v>0</v>
      </c>
      <c r="F505" s="88" t="b">
        <v>0</v>
      </c>
      <c r="G505" s="88" t="b">
        <v>0</v>
      </c>
    </row>
    <row r="506" spans="1:7" ht="15">
      <c r="A506" s="83" t="s">
        <v>2438</v>
      </c>
      <c r="B506" s="88">
        <v>3</v>
      </c>
      <c r="C506" s="110">
        <v>0.006568119481976089</v>
      </c>
      <c r="D506" s="88" t="s">
        <v>1779</v>
      </c>
      <c r="E506" s="88" t="b">
        <v>0</v>
      </c>
      <c r="F506" s="88" t="b">
        <v>0</v>
      </c>
      <c r="G506" s="88" t="b">
        <v>0</v>
      </c>
    </row>
    <row r="507" spans="1:7" ht="15">
      <c r="A507" s="83" t="s">
        <v>2509</v>
      </c>
      <c r="B507" s="88">
        <v>3</v>
      </c>
      <c r="C507" s="110">
        <v>0.006568119481976089</v>
      </c>
      <c r="D507" s="88" t="s">
        <v>1779</v>
      </c>
      <c r="E507" s="88" t="b">
        <v>0</v>
      </c>
      <c r="F507" s="88" t="b">
        <v>0</v>
      </c>
      <c r="G507" s="88" t="b">
        <v>0</v>
      </c>
    </row>
    <row r="508" spans="1:7" ht="15">
      <c r="A508" s="83" t="s">
        <v>2510</v>
      </c>
      <c r="B508" s="88">
        <v>3</v>
      </c>
      <c r="C508" s="110">
        <v>0.006568119481976089</v>
      </c>
      <c r="D508" s="88" t="s">
        <v>1779</v>
      </c>
      <c r="E508" s="88" t="b">
        <v>0</v>
      </c>
      <c r="F508" s="88" t="b">
        <v>0</v>
      </c>
      <c r="G508" s="88" t="b">
        <v>0</v>
      </c>
    </row>
    <row r="509" spans="1:7" ht="15">
      <c r="A509" s="83" t="s">
        <v>2512</v>
      </c>
      <c r="B509" s="88">
        <v>3</v>
      </c>
      <c r="C509" s="110">
        <v>0.006568119481976089</v>
      </c>
      <c r="D509" s="88" t="s">
        <v>1779</v>
      </c>
      <c r="E509" s="88" t="b">
        <v>0</v>
      </c>
      <c r="F509" s="88" t="b">
        <v>0</v>
      </c>
      <c r="G509" s="88" t="b">
        <v>0</v>
      </c>
    </row>
    <row r="510" spans="1:7" ht="15">
      <c r="A510" s="83" t="s">
        <v>2028</v>
      </c>
      <c r="B510" s="88">
        <v>2</v>
      </c>
      <c r="C510" s="110">
        <v>0.005291136264611078</v>
      </c>
      <c r="D510" s="88" t="s">
        <v>1779</v>
      </c>
      <c r="E510" s="88" t="b">
        <v>0</v>
      </c>
      <c r="F510" s="88" t="b">
        <v>0</v>
      </c>
      <c r="G510" s="88" t="b">
        <v>0</v>
      </c>
    </row>
    <row r="511" spans="1:7" ht="15">
      <c r="A511" s="83" t="s">
        <v>2600</v>
      </c>
      <c r="B511" s="88">
        <v>2</v>
      </c>
      <c r="C511" s="110">
        <v>0.005291136264611078</v>
      </c>
      <c r="D511" s="88" t="s">
        <v>1779</v>
      </c>
      <c r="E511" s="88" t="b">
        <v>0</v>
      </c>
      <c r="F511" s="88" t="b">
        <v>0</v>
      </c>
      <c r="G511" s="88" t="b">
        <v>0</v>
      </c>
    </row>
    <row r="512" spans="1:7" ht="15">
      <c r="A512" s="83" t="s">
        <v>2021</v>
      </c>
      <c r="B512" s="88">
        <v>2</v>
      </c>
      <c r="C512" s="110">
        <v>0.005291136264611078</v>
      </c>
      <c r="D512" s="88" t="s">
        <v>1779</v>
      </c>
      <c r="E512" s="88" t="b">
        <v>0</v>
      </c>
      <c r="F512" s="88" t="b">
        <v>0</v>
      </c>
      <c r="G512" s="88" t="b">
        <v>0</v>
      </c>
    </row>
    <row r="513" spans="1:7" ht="15">
      <c r="A513" s="83" t="s">
        <v>342</v>
      </c>
      <c r="B513" s="88">
        <v>2</v>
      </c>
      <c r="C513" s="110">
        <v>0.005291136264611078</v>
      </c>
      <c r="D513" s="88" t="s">
        <v>1779</v>
      </c>
      <c r="E513" s="88" t="b">
        <v>0</v>
      </c>
      <c r="F513" s="88" t="b">
        <v>0</v>
      </c>
      <c r="G513" s="88" t="b">
        <v>0</v>
      </c>
    </row>
    <row r="514" spans="1:7" ht="15">
      <c r="A514" s="83" t="s">
        <v>2601</v>
      </c>
      <c r="B514" s="88">
        <v>2</v>
      </c>
      <c r="C514" s="110">
        <v>0.005291136264611078</v>
      </c>
      <c r="D514" s="88" t="s">
        <v>1779</v>
      </c>
      <c r="E514" s="88" t="b">
        <v>0</v>
      </c>
      <c r="F514" s="88" t="b">
        <v>0</v>
      </c>
      <c r="G514" s="88" t="b">
        <v>0</v>
      </c>
    </row>
    <row r="515" spans="1:7" ht="15">
      <c r="A515" s="83" t="s">
        <v>2602</v>
      </c>
      <c r="B515" s="88">
        <v>2</v>
      </c>
      <c r="C515" s="110">
        <v>0.005291136264611078</v>
      </c>
      <c r="D515" s="88" t="s">
        <v>1779</v>
      </c>
      <c r="E515" s="88" t="b">
        <v>0</v>
      </c>
      <c r="F515" s="88" t="b">
        <v>0</v>
      </c>
      <c r="G515" s="88" t="b">
        <v>0</v>
      </c>
    </row>
    <row r="516" spans="1:7" ht="15">
      <c r="A516" s="83" t="s">
        <v>401</v>
      </c>
      <c r="B516" s="88">
        <v>2</v>
      </c>
      <c r="C516" s="110">
        <v>0.005291136264611078</v>
      </c>
      <c r="D516" s="88" t="s">
        <v>1779</v>
      </c>
      <c r="E516" s="88" t="b">
        <v>0</v>
      </c>
      <c r="F516" s="88" t="b">
        <v>0</v>
      </c>
      <c r="G516" s="88" t="b">
        <v>0</v>
      </c>
    </row>
    <row r="517" spans="1:7" ht="15">
      <c r="A517" s="83" t="s">
        <v>2474</v>
      </c>
      <c r="B517" s="88">
        <v>2</v>
      </c>
      <c r="C517" s="110">
        <v>0.005291136264611078</v>
      </c>
      <c r="D517" s="88" t="s">
        <v>1779</v>
      </c>
      <c r="E517" s="88" t="b">
        <v>0</v>
      </c>
      <c r="F517" s="88" t="b">
        <v>0</v>
      </c>
      <c r="G517" s="88" t="b">
        <v>0</v>
      </c>
    </row>
    <row r="518" spans="1:7" ht="15">
      <c r="A518" s="83" t="s">
        <v>2603</v>
      </c>
      <c r="B518" s="88">
        <v>2</v>
      </c>
      <c r="C518" s="110">
        <v>0.005291136264611078</v>
      </c>
      <c r="D518" s="88" t="s">
        <v>1779</v>
      </c>
      <c r="E518" s="88" t="b">
        <v>0</v>
      </c>
      <c r="F518" s="88" t="b">
        <v>0</v>
      </c>
      <c r="G518" s="88" t="b">
        <v>0</v>
      </c>
    </row>
    <row r="519" spans="1:7" ht="15">
      <c r="A519" s="83" t="s">
        <v>2604</v>
      </c>
      <c r="B519" s="88">
        <v>2</v>
      </c>
      <c r="C519" s="110">
        <v>0.005291136264611078</v>
      </c>
      <c r="D519" s="88" t="s">
        <v>1779</v>
      </c>
      <c r="E519" s="88" t="b">
        <v>0</v>
      </c>
      <c r="F519" s="88" t="b">
        <v>0</v>
      </c>
      <c r="G519" s="88" t="b">
        <v>0</v>
      </c>
    </row>
    <row r="520" spans="1:7" ht="15">
      <c r="A520" s="83" t="s">
        <v>2605</v>
      </c>
      <c r="B520" s="88">
        <v>2</v>
      </c>
      <c r="C520" s="110">
        <v>0.005291136264611078</v>
      </c>
      <c r="D520" s="88" t="s">
        <v>1779</v>
      </c>
      <c r="E520" s="88" t="b">
        <v>0</v>
      </c>
      <c r="F520" s="88" t="b">
        <v>0</v>
      </c>
      <c r="G520" s="88" t="b">
        <v>0</v>
      </c>
    </row>
    <row r="521" spans="1:7" ht="15">
      <c r="A521" s="83" t="s">
        <v>2476</v>
      </c>
      <c r="B521" s="88">
        <v>2</v>
      </c>
      <c r="C521" s="110">
        <v>0.005291136264611078</v>
      </c>
      <c r="D521" s="88" t="s">
        <v>1779</v>
      </c>
      <c r="E521" s="88" t="b">
        <v>0</v>
      </c>
      <c r="F521" s="88" t="b">
        <v>0</v>
      </c>
      <c r="G521" s="88" t="b">
        <v>0</v>
      </c>
    </row>
    <row r="522" spans="1:7" ht="15">
      <c r="A522" s="83" t="s">
        <v>2513</v>
      </c>
      <c r="B522" s="88">
        <v>2</v>
      </c>
      <c r="C522" s="110">
        <v>0.005291136264611078</v>
      </c>
      <c r="D522" s="88" t="s">
        <v>1779</v>
      </c>
      <c r="E522" s="88" t="b">
        <v>0</v>
      </c>
      <c r="F522" s="88" t="b">
        <v>0</v>
      </c>
      <c r="G522" s="88" t="b">
        <v>0</v>
      </c>
    </row>
    <row r="523" spans="1:7" ht="15">
      <c r="A523" s="83" t="s">
        <v>349</v>
      </c>
      <c r="B523" s="88">
        <v>2</v>
      </c>
      <c r="C523" s="110">
        <v>0.005291136264611078</v>
      </c>
      <c r="D523" s="88" t="s">
        <v>1779</v>
      </c>
      <c r="E523" s="88" t="b">
        <v>0</v>
      </c>
      <c r="F523" s="88" t="b">
        <v>0</v>
      </c>
      <c r="G523" s="88" t="b">
        <v>0</v>
      </c>
    </row>
    <row r="524" spans="1:7" ht="15">
      <c r="A524" s="83" t="s">
        <v>2599</v>
      </c>
      <c r="B524" s="88">
        <v>2</v>
      </c>
      <c r="C524" s="110">
        <v>0.005291136264611078</v>
      </c>
      <c r="D524" s="88" t="s">
        <v>1779</v>
      </c>
      <c r="E524" s="88" t="b">
        <v>1</v>
      </c>
      <c r="F524" s="88" t="b">
        <v>0</v>
      </c>
      <c r="G524" s="88" t="b">
        <v>0</v>
      </c>
    </row>
    <row r="525" spans="1:7" ht="15">
      <c r="A525" s="83" t="s">
        <v>2588</v>
      </c>
      <c r="B525" s="88">
        <v>2</v>
      </c>
      <c r="C525" s="110">
        <v>0.005291136264611078</v>
      </c>
      <c r="D525" s="88" t="s">
        <v>1779</v>
      </c>
      <c r="E525" s="88" t="b">
        <v>0</v>
      </c>
      <c r="F525" s="88" t="b">
        <v>0</v>
      </c>
      <c r="G525" s="88" t="b">
        <v>0</v>
      </c>
    </row>
    <row r="526" spans="1:7" ht="15">
      <c r="A526" s="83" t="s">
        <v>402</v>
      </c>
      <c r="B526" s="88">
        <v>2</v>
      </c>
      <c r="C526" s="110">
        <v>0.005291136264611078</v>
      </c>
      <c r="D526" s="88" t="s">
        <v>1779</v>
      </c>
      <c r="E526" s="88" t="b">
        <v>0</v>
      </c>
      <c r="F526" s="88" t="b">
        <v>0</v>
      </c>
      <c r="G526" s="88" t="b">
        <v>0</v>
      </c>
    </row>
    <row r="527" spans="1:7" ht="15">
      <c r="A527" s="83" t="s">
        <v>2589</v>
      </c>
      <c r="B527" s="88">
        <v>2</v>
      </c>
      <c r="C527" s="110">
        <v>0.005291136264611078</v>
      </c>
      <c r="D527" s="88" t="s">
        <v>1779</v>
      </c>
      <c r="E527" s="88" t="b">
        <v>0</v>
      </c>
      <c r="F527" s="88" t="b">
        <v>0</v>
      </c>
      <c r="G527" s="88" t="b">
        <v>0</v>
      </c>
    </row>
    <row r="528" spans="1:7" ht="15">
      <c r="A528" s="83" t="s">
        <v>2590</v>
      </c>
      <c r="B528" s="88">
        <v>2</v>
      </c>
      <c r="C528" s="110">
        <v>0.005291136264611078</v>
      </c>
      <c r="D528" s="88" t="s">
        <v>1779</v>
      </c>
      <c r="E528" s="88" t="b">
        <v>0</v>
      </c>
      <c r="F528" s="88" t="b">
        <v>0</v>
      </c>
      <c r="G528" s="88" t="b">
        <v>0</v>
      </c>
    </row>
    <row r="529" spans="1:7" ht="15">
      <c r="A529" s="83" t="s">
        <v>2591</v>
      </c>
      <c r="B529" s="88">
        <v>2</v>
      </c>
      <c r="C529" s="110">
        <v>0.005291136264611078</v>
      </c>
      <c r="D529" s="88" t="s">
        <v>1779</v>
      </c>
      <c r="E529" s="88" t="b">
        <v>0</v>
      </c>
      <c r="F529" s="88" t="b">
        <v>0</v>
      </c>
      <c r="G529" s="88" t="b">
        <v>0</v>
      </c>
    </row>
    <row r="530" spans="1:7" ht="15">
      <c r="A530" s="83" t="s">
        <v>2592</v>
      </c>
      <c r="B530" s="88">
        <v>2</v>
      </c>
      <c r="C530" s="110">
        <v>0.005291136264611078</v>
      </c>
      <c r="D530" s="88" t="s">
        <v>1779</v>
      </c>
      <c r="E530" s="88" t="b">
        <v>0</v>
      </c>
      <c r="F530" s="88" t="b">
        <v>0</v>
      </c>
      <c r="G530" s="88" t="b">
        <v>0</v>
      </c>
    </row>
    <row r="531" spans="1:7" ht="15">
      <c r="A531" s="83" t="s">
        <v>2593</v>
      </c>
      <c r="B531" s="88">
        <v>2</v>
      </c>
      <c r="C531" s="110">
        <v>0.005291136264611078</v>
      </c>
      <c r="D531" s="88" t="s">
        <v>1779</v>
      </c>
      <c r="E531" s="88" t="b">
        <v>0</v>
      </c>
      <c r="F531" s="88" t="b">
        <v>0</v>
      </c>
      <c r="G531" s="88" t="b">
        <v>0</v>
      </c>
    </row>
    <row r="532" spans="1:7" ht="15">
      <c r="A532" s="83" t="s">
        <v>2594</v>
      </c>
      <c r="B532" s="88">
        <v>2</v>
      </c>
      <c r="C532" s="110">
        <v>0.005291136264611078</v>
      </c>
      <c r="D532" s="88" t="s">
        <v>1779</v>
      </c>
      <c r="E532" s="88" t="b">
        <v>0</v>
      </c>
      <c r="F532" s="88" t="b">
        <v>0</v>
      </c>
      <c r="G532" s="88" t="b">
        <v>0</v>
      </c>
    </row>
    <row r="533" spans="1:7" ht="15">
      <c r="A533" s="83" t="s">
        <v>2443</v>
      </c>
      <c r="B533" s="88">
        <v>2</v>
      </c>
      <c r="C533" s="110">
        <v>0.005291136264611078</v>
      </c>
      <c r="D533" s="88" t="s">
        <v>1779</v>
      </c>
      <c r="E533" s="88" t="b">
        <v>0</v>
      </c>
      <c r="F533" s="88" t="b">
        <v>0</v>
      </c>
      <c r="G533" s="88" t="b">
        <v>0</v>
      </c>
    </row>
    <row r="534" spans="1:7" ht="15">
      <c r="A534" s="83" t="s">
        <v>2595</v>
      </c>
      <c r="B534" s="88">
        <v>2</v>
      </c>
      <c r="C534" s="110">
        <v>0.005291136264611078</v>
      </c>
      <c r="D534" s="88" t="s">
        <v>1779</v>
      </c>
      <c r="E534" s="88" t="b">
        <v>0</v>
      </c>
      <c r="F534" s="88" t="b">
        <v>0</v>
      </c>
      <c r="G534" s="88" t="b">
        <v>0</v>
      </c>
    </row>
    <row r="535" spans="1:7" ht="15">
      <c r="A535" s="83" t="s">
        <v>2511</v>
      </c>
      <c r="B535" s="88">
        <v>2</v>
      </c>
      <c r="C535" s="110">
        <v>0.005291136264611078</v>
      </c>
      <c r="D535" s="88" t="s">
        <v>1779</v>
      </c>
      <c r="E535" s="88" t="b">
        <v>1</v>
      </c>
      <c r="F535" s="88" t="b">
        <v>0</v>
      </c>
      <c r="G535" s="88" t="b">
        <v>0</v>
      </c>
    </row>
    <row r="536" spans="1:7" ht="15">
      <c r="A536" s="83" t="s">
        <v>2596</v>
      </c>
      <c r="B536" s="88">
        <v>2</v>
      </c>
      <c r="C536" s="110">
        <v>0.005291136264611078</v>
      </c>
      <c r="D536" s="88" t="s">
        <v>1779</v>
      </c>
      <c r="E536" s="88" t="b">
        <v>0</v>
      </c>
      <c r="F536" s="88" t="b">
        <v>0</v>
      </c>
      <c r="G536" s="88" t="b">
        <v>0</v>
      </c>
    </row>
    <row r="537" spans="1:7" ht="15">
      <c r="A537" s="83" t="s">
        <v>2597</v>
      </c>
      <c r="B537" s="88">
        <v>2</v>
      </c>
      <c r="C537" s="110">
        <v>0.005291136264611078</v>
      </c>
      <c r="D537" s="88" t="s">
        <v>1779</v>
      </c>
      <c r="E537" s="88" t="b">
        <v>0</v>
      </c>
      <c r="F537" s="88" t="b">
        <v>0</v>
      </c>
      <c r="G537" s="88" t="b">
        <v>0</v>
      </c>
    </row>
    <row r="538" spans="1:7" ht="15">
      <c r="A538" s="83" t="s">
        <v>2598</v>
      </c>
      <c r="B538" s="88">
        <v>2</v>
      </c>
      <c r="C538" s="110">
        <v>0.005291136264611078</v>
      </c>
      <c r="D538" s="88" t="s">
        <v>1779</v>
      </c>
      <c r="E538" s="88" t="b">
        <v>0</v>
      </c>
      <c r="F538" s="88" t="b">
        <v>0</v>
      </c>
      <c r="G538" s="88" t="b">
        <v>0</v>
      </c>
    </row>
    <row r="539" spans="1:7" ht="15">
      <c r="A539" s="83" t="s">
        <v>351</v>
      </c>
      <c r="B539" s="88">
        <v>2</v>
      </c>
      <c r="C539" s="110">
        <v>0.005291136264611078</v>
      </c>
      <c r="D539" s="88" t="s">
        <v>1779</v>
      </c>
      <c r="E539" s="88" t="b">
        <v>0</v>
      </c>
      <c r="F539" s="88" t="b">
        <v>0</v>
      </c>
      <c r="G539" s="88" t="b">
        <v>0</v>
      </c>
    </row>
    <row r="540" spans="1:7" ht="15">
      <c r="A540" s="83" t="s">
        <v>2616</v>
      </c>
      <c r="B540" s="88">
        <v>2</v>
      </c>
      <c r="C540" s="110">
        <v>0.005291136264611078</v>
      </c>
      <c r="D540" s="88" t="s">
        <v>1779</v>
      </c>
      <c r="E540" s="88" t="b">
        <v>0</v>
      </c>
      <c r="F540" s="88" t="b">
        <v>0</v>
      </c>
      <c r="G540" s="88" t="b">
        <v>0</v>
      </c>
    </row>
    <row r="541" spans="1:7" ht="15">
      <c r="A541" s="83" t="s">
        <v>1944</v>
      </c>
      <c r="B541" s="88">
        <v>12</v>
      </c>
      <c r="C541" s="110">
        <v>0</v>
      </c>
      <c r="D541" s="88" t="s">
        <v>1780</v>
      </c>
      <c r="E541" s="88" t="b">
        <v>0</v>
      </c>
      <c r="F541" s="88" t="b">
        <v>0</v>
      </c>
      <c r="G541" s="88" t="b">
        <v>0</v>
      </c>
    </row>
    <row r="542" spans="1:7" ht="15">
      <c r="A542" s="83" t="s">
        <v>1979</v>
      </c>
      <c r="B542" s="88">
        <v>10</v>
      </c>
      <c r="C542" s="110">
        <v>0.005576144087860903</v>
      </c>
      <c r="D542" s="88" t="s">
        <v>1780</v>
      </c>
      <c r="E542" s="88" t="b">
        <v>0</v>
      </c>
      <c r="F542" s="88" t="b">
        <v>0</v>
      </c>
      <c r="G542" s="88" t="b">
        <v>0</v>
      </c>
    </row>
    <row r="543" spans="1:7" ht="15">
      <c r="A543" s="83" t="s">
        <v>390</v>
      </c>
      <c r="B543" s="88">
        <v>10</v>
      </c>
      <c r="C543" s="110">
        <v>0.005576144087860903</v>
      </c>
      <c r="D543" s="88" t="s">
        <v>1780</v>
      </c>
      <c r="E543" s="88" t="b">
        <v>0</v>
      </c>
      <c r="F543" s="88" t="b">
        <v>0</v>
      </c>
      <c r="G543" s="88" t="b">
        <v>0</v>
      </c>
    </row>
    <row r="544" spans="1:7" ht="15">
      <c r="A544" s="83" t="s">
        <v>361</v>
      </c>
      <c r="B544" s="88">
        <v>8</v>
      </c>
      <c r="C544" s="110">
        <v>0.009920634312996127</v>
      </c>
      <c r="D544" s="88" t="s">
        <v>1780</v>
      </c>
      <c r="E544" s="88" t="b">
        <v>0</v>
      </c>
      <c r="F544" s="88" t="b">
        <v>0</v>
      </c>
      <c r="G544" s="88" t="b">
        <v>0</v>
      </c>
    </row>
    <row r="545" spans="1:7" ht="15">
      <c r="A545" s="83" t="s">
        <v>1990</v>
      </c>
      <c r="B545" s="88">
        <v>7</v>
      </c>
      <c r="C545" s="110">
        <v>0.011539312973475884</v>
      </c>
      <c r="D545" s="88" t="s">
        <v>1780</v>
      </c>
      <c r="E545" s="88" t="b">
        <v>0</v>
      </c>
      <c r="F545" s="88" t="b">
        <v>0</v>
      </c>
      <c r="G545" s="88" t="b">
        <v>0</v>
      </c>
    </row>
    <row r="546" spans="1:7" ht="15">
      <c r="A546" s="83" t="s">
        <v>1991</v>
      </c>
      <c r="B546" s="88">
        <v>7</v>
      </c>
      <c r="C546" s="110">
        <v>0.011539312973475884</v>
      </c>
      <c r="D546" s="88" t="s">
        <v>1780</v>
      </c>
      <c r="E546" s="88" t="b">
        <v>0</v>
      </c>
      <c r="F546" s="88" t="b">
        <v>0</v>
      </c>
      <c r="G546" s="88" t="b">
        <v>0</v>
      </c>
    </row>
    <row r="547" spans="1:7" ht="15">
      <c r="A547" s="83" t="s">
        <v>1992</v>
      </c>
      <c r="B547" s="88">
        <v>7</v>
      </c>
      <c r="C547" s="110">
        <v>0.011539312973475884</v>
      </c>
      <c r="D547" s="88" t="s">
        <v>1780</v>
      </c>
      <c r="E547" s="88" t="b">
        <v>0</v>
      </c>
      <c r="F547" s="88" t="b">
        <v>0</v>
      </c>
      <c r="G547" s="88" t="b">
        <v>0</v>
      </c>
    </row>
    <row r="548" spans="1:7" ht="15">
      <c r="A548" s="83" t="s">
        <v>1993</v>
      </c>
      <c r="B548" s="88">
        <v>7</v>
      </c>
      <c r="C548" s="110">
        <v>0.011539312973475884</v>
      </c>
      <c r="D548" s="88" t="s">
        <v>1780</v>
      </c>
      <c r="E548" s="88" t="b">
        <v>0</v>
      </c>
      <c r="F548" s="88" t="b">
        <v>0</v>
      </c>
      <c r="G548" s="88" t="b">
        <v>0</v>
      </c>
    </row>
    <row r="549" spans="1:7" ht="15">
      <c r="A549" s="83" t="s">
        <v>1994</v>
      </c>
      <c r="B549" s="88">
        <v>7</v>
      </c>
      <c r="C549" s="110">
        <v>0.011539312973475884</v>
      </c>
      <c r="D549" s="88" t="s">
        <v>1780</v>
      </c>
      <c r="E549" s="88" t="b">
        <v>0</v>
      </c>
      <c r="F549" s="88" t="b">
        <v>0</v>
      </c>
      <c r="G549" s="88" t="b">
        <v>0</v>
      </c>
    </row>
    <row r="550" spans="1:7" ht="15">
      <c r="A550" s="83" t="s">
        <v>1995</v>
      </c>
      <c r="B550" s="88">
        <v>7</v>
      </c>
      <c r="C550" s="110">
        <v>0.011539312973475884</v>
      </c>
      <c r="D550" s="88" t="s">
        <v>1780</v>
      </c>
      <c r="E550" s="88" t="b">
        <v>1</v>
      </c>
      <c r="F550" s="88" t="b">
        <v>0</v>
      </c>
      <c r="G550" s="88" t="b">
        <v>0</v>
      </c>
    </row>
    <row r="551" spans="1:7" ht="15">
      <c r="A551" s="83" t="s">
        <v>2439</v>
      </c>
      <c r="B551" s="88">
        <v>7</v>
      </c>
      <c r="C551" s="110">
        <v>0.011539312973475884</v>
      </c>
      <c r="D551" s="88" t="s">
        <v>1780</v>
      </c>
      <c r="E551" s="88" t="b">
        <v>0</v>
      </c>
      <c r="F551" s="88" t="b">
        <v>0</v>
      </c>
      <c r="G551" s="88" t="b">
        <v>0</v>
      </c>
    </row>
    <row r="552" spans="1:7" ht="15">
      <c r="A552" s="83" t="s">
        <v>2440</v>
      </c>
      <c r="B552" s="88">
        <v>7</v>
      </c>
      <c r="C552" s="110">
        <v>0.011539312973475884</v>
      </c>
      <c r="D552" s="88" t="s">
        <v>1780</v>
      </c>
      <c r="E552" s="88" t="b">
        <v>0</v>
      </c>
      <c r="F552" s="88" t="b">
        <v>0</v>
      </c>
      <c r="G552" s="88" t="b">
        <v>0</v>
      </c>
    </row>
    <row r="553" spans="1:7" ht="15">
      <c r="A553" s="83" t="s">
        <v>1964</v>
      </c>
      <c r="B553" s="88">
        <v>4</v>
      </c>
      <c r="C553" s="110">
        <v>0.013440035344215843</v>
      </c>
      <c r="D553" s="88" t="s">
        <v>1780</v>
      </c>
      <c r="E553" s="88" t="b">
        <v>0</v>
      </c>
      <c r="F553" s="88" t="b">
        <v>0</v>
      </c>
      <c r="G553" s="88" t="b">
        <v>0</v>
      </c>
    </row>
    <row r="554" spans="1:7" ht="15">
      <c r="A554" s="83" t="s">
        <v>1965</v>
      </c>
      <c r="B554" s="88">
        <v>4</v>
      </c>
      <c r="C554" s="110">
        <v>0.013440035344215843</v>
      </c>
      <c r="D554" s="88" t="s">
        <v>1780</v>
      </c>
      <c r="E554" s="88" t="b">
        <v>0</v>
      </c>
      <c r="F554" s="88" t="b">
        <v>0</v>
      </c>
      <c r="G554" s="88" t="b">
        <v>0</v>
      </c>
    </row>
    <row r="555" spans="1:7" ht="15">
      <c r="A555" s="83" t="s">
        <v>1978</v>
      </c>
      <c r="B555" s="88">
        <v>4</v>
      </c>
      <c r="C555" s="110">
        <v>0.013440035344215843</v>
      </c>
      <c r="D555" s="88" t="s">
        <v>1780</v>
      </c>
      <c r="E555" s="88" t="b">
        <v>0</v>
      </c>
      <c r="F555" s="88" t="b">
        <v>0</v>
      </c>
      <c r="G555" s="88" t="b">
        <v>0</v>
      </c>
    </row>
    <row r="556" spans="1:7" ht="15">
      <c r="A556" s="83" t="s">
        <v>362</v>
      </c>
      <c r="B556" s="88">
        <v>4</v>
      </c>
      <c r="C556" s="110">
        <v>0.013440035344215843</v>
      </c>
      <c r="D556" s="88" t="s">
        <v>1780</v>
      </c>
      <c r="E556" s="88" t="b">
        <v>0</v>
      </c>
      <c r="F556" s="88" t="b">
        <v>0</v>
      </c>
      <c r="G556" s="88" t="b">
        <v>0</v>
      </c>
    </row>
    <row r="557" spans="1:7" ht="15">
      <c r="A557" s="83" t="s">
        <v>2029</v>
      </c>
      <c r="B557" s="88">
        <v>2</v>
      </c>
      <c r="C557" s="110">
        <v>0.010959876765966811</v>
      </c>
      <c r="D557" s="88" t="s">
        <v>1780</v>
      </c>
      <c r="E557" s="88" t="b">
        <v>0</v>
      </c>
      <c r="F557" s="88" t="b">
        <v>0</v>
      </c>
      <c r="G557" s="88" t="b">
        <v>0</v>
      </c>
    </row>
    <row r="558" spans="1:7" ht="15">
      <c r="A558" s="83" t="s">
        <v>2617</v>
      </c>
      <c r="B558" s="88">
        <v>2</v>
      </c>
      <c r="C558" s="110">
        <v>0.010959876765966811</v>
      </c>
      <c r="D558" s="88" t="s">
        <v>1780</v>
      </c>
      <c r="E558" s="88" t="b">
        <v>0</v>
      </c>
      <c r="F558" s="88" t="b">
        <v>0</v>
      </c>
      <c r="G558" s="88" t="b">
        <v>0</v>
      </c>
    </row>
    <row r="559" spans="1:7" ht="15">
      <c r="A559" s="83" t="s">
        <v>2006</v>
      </c>
      <c r="B559" s="88">
        <v>2</v>
      </c>
      <c r="C559" s="110">
        <v>0.010959876765966811</v>
      </c>
      <c r="D559" s="88" t="s">
        <v>1780</v>
      </c>
      <c r="E559" s="88" t="b">
        <v>0</v>
      </c>
      <c r="F559" s="88" t="b">
        <v>0</v>
      </c>
      <c r="G559" s="88" t="b">
        <v>0</v>
      </c>
    </row>
    <row r="560" spans="1:7" ht="15">
      <c r="A560" s="83" t="s">
        <v>2433</v>
      </c>
      <c r="B560" s="88">
        <v>2</v>
      </c>
      <c r="C560" s="110">
        <v>0.010959876765966811</v>
      </c>
      <c r="D560" s="88" t="s">
        <v>1780</v>
      </c>
      <c r="E560" s="88" t="b">
        <v>0</v>
      </c>
      <c r="F560" s="88" t="b">
        <v>0</v>
      </c>
      <c r="G560" s="88" t="b">
        <v>0</v>
      </c>
    </row>
    <row r="561" spans="1:7" ht="15">
      <c r="A561" s="83" t="s">
        <v>1968</v>
      </c>
      <c r="B561" s="88">
        <v>2</v>
      </c>
      <c r="C561" s="110">
        <v>0.010959876765966811</v>
      </c>
      <c r="D561" s="88" t="s">
        <v>1780</v>
      </c>
      <c r="E561" s="88" t="b">
        <v>0</v>
      </c>
      <c r="F561" s="88" t="b">
        <v>0</v>
      </c>
      <c r="G561" s="88" t="b">
        <v>0</v>
      </c>
    </row>
    <row r="562" spans="1:7" ht="15">
      <c r="A562" s="83" t="s">
        <v>394</v>
      </c>
      <c r="B562" s="88">
        <v>2</v>
      </c>
      <c r="C562" s="110">
        <v>0.010959876765966811</v>
      </c>
      <c r="D562" s="88" t="s">
        <v>1780</v>
      </c>
      <c r="E562" s="88" t="b">
        <v>0</v>
      </c>
      <c r="F562" s="88" t="b">
        <v>0</v>
      </c>
      <c r="G562" s="88" t="b">
        <v>0</v>
      </c>
    </row>
    <row r="563" spans="1:7" ht="15">
      <c r="A563" s="83" t="s">
        <v>1976</v>
      </c>
      <c r="B563" s="88">
        <v>2</v>
      </c>
      <c r="C563" s="110">
        <v>0.010959876765966811</v>
      </c>
      <c r="D563" s="88" t="s">
        <v>1780</v>
      </c>
      <c r="E563" s="88" t="b">
        <v>0</v>
      </c>
      <c r="F563" s="88" t="b">
        <v>0</v>
      </c>
      <c r="G563" s="88" t="b">
        <v>0</v>
      </c>
    </row>
    <row r="564" spans="1:7" ht="15">
      <c r="A564" s="83" t="s">
        <v>1977</v>
      </c>
      <c r="B564" s="88">
        <v>2</v>
      </c>
      <c r="C564" s="110">
        <v>0.010959876765966811</v>
      </c>
      <c r="D564" s="88" t="s">
        <v>1780</v>
      </c>
      <c r="E564" s="88" t="b">
        <v>0</v>
      </c>
      <c r="F564" s="88" t="b">
        <v>0</v>
      </c>
      <c r="G564" s="88" t="b">
        <v>0</v>
      </c>
    </row>
    <row r="565" spans="1:7" ht="15">
      <c r="A565" s="83" t="s">
        <v>1981</v>
      </c>
      <c r="B565" s="88">
        <v>2</v>
      </c>
      <c r="C565" s="110">
        <v>0.010959876765966811</v>
      </c>
      <c r="D565" s="88" t="s">
        <v>1780</v>
      </c>
      <c r="E565" s="88" t="b">
        <v>0</v>
      </c>
      <c r="F565" s="88" t="b">
        <v>0</v>
      </c>
      <c r="G565" s="88" t="b">
        <v>0</v>
      </c>
    </row>
    <row r="566" spans="1:7" ht="15">
      <c r="A566" s="83" t="s">
        <v>1982</v>
      </c>
      <c r="B566" s="88">
        <v>2</v>
      </c>
      <c r="C566" s="110">
        <v>0.010959876765966811</v>
      </c>
      <c r="D566" s="88" t="s">
        <v>1780</v>
      </c>
      <c r="E566" s="88" t="b">
        <v>0</v>
      </c>
      <c r="F566" s="88" t="b">
        <v>0</v>
      </c>
      <c r="G566" s="88" t="b">
        <v>0</v>
      </c>
    </row>
    <row r="567" spans="1:7" ht="15">
      <c r="A567" s="83" t="s">
        <v>1980</v>
      </c>
      <c r="B567" s="88">
        <v>2</v>
      </c>
      <c r="C567" s="110">
        <v>0.010959876765966811</v>
      </c>
      <c r="D567" s="88" t="s">
        <v>1780</v>
      </c>
      <c r="E567" s="88" t="b">
        <v>0</v>
      </c>
      <c r="F567" s="88" t="b">
        <v>0</v>
      </c>
      <c r="G567" s="88" t="b">
        <v>0</v>
      </c>
    </row>
    <row r="568" spans="1:7" ht="15">
      <c r="A568" s="83" t="s">
        <v>1944</v>
      </c>
      <c r="B568" s="88">
        <v>12</v>
      </c>
      <c r="C568" s="110">
        <v>0</v>
      </c>
      <c r="D568" s="88" t="s">
        <v>1781</v>
      </c>
      <c r="E568" s="88" t="b">
        <v>0</v>
      </c>
      <c r="F568" s="88" t="b">
        <v>0</v>
      </c>
      <c r="G568" s="88" t="b">
        <v>0</v>
      </c>
    </row>
    <row r="569" spans="1:7" ht="15">
      <c r="A569" s="83" t="s">
        <v>1965</v>
      </c>
      <c r="B569" s="88">
        <v>11</v>
      </c>
      <c r="C569" s="110">
        <v>0.007551242322479666</v>
      </c>
      <c r="D569" s="88" t="s">
        <v>1781</v>
      </c>
      <c r="E569" s="88" t="b">
        <v>0</v>
      </c>
      <c r="F569" s="88" t="b">
        <v>0</v>
      </c>
      <c r="G569" s="88" t="b">
        <v>0</v>
      </c>
    </row>
    <row r="570" spans="1:7" ht="15">
      <c r="A570" s="83" t="s">
        <v>1997</v>
      </c>
      <c r="B570" s="88">
        <v>8</v>
      </c>
      <c r="C570" s="110">
        <v>0.00549181259816703</v>
      </c>
      <c r="D570" s="88" t="s">
        <v>1781</v>
      </c>
      <c r="E570" s="88" t="b">
        <v>0</v>
      </c>
      <c r="F570" s="88" t="b">
        <v>0</v>
      </c>
      <c r="G570" s="88" t="b">
        <v>0</v>
      </c>
    </row>
    <row r="571" spans="1:7" ht="15">
      <c r="A571" s="83" t="s">
        <v>1964</v>
      </c>
      <c r="B571" s="88">
        <v>5</v>
      </c>
      <c r="C571" s="110">
        <v>0.00827005482593355</v>
      </c>
      <c r="D571" s="88" t="s">
        <v>1781</v>
      </c>
      <c r="E571" s="88" t="b">
        <v>0</v>
      </c>
      <c r="F571" s="88" t="b">
        <v>0</v>
      </c>
      <c r="G571" s="88" t="b">
        <v>0</v>
      </c>
    </row>
    <row r="572" spans="1:7" ht="15">
      <c r="A572" s="83" t="s">
        <v>1970</v>
      </c>
      <c r="B572" s="88">
        <v>5</v>
      </c>
      <c r="C572" s="110">
        <v>0.00827005482593355</v>
      </c>
      <c r="D572" s="88" t="s">
        <v>1781</v>
      </c>
      <c r="E572" s="88" t="b">
        <v>0</v>
      </c>
      <c r="F572" s="88" t="b">
        <v>0</v>
      </c>
      <c r="G572" s="88" t="b">
        <v>0</v>
      </c>
    </row>
    <row r="573" spans="1:7" ht="15">
      <c r="A573" s="83" t="s">
        <v>1998</v>
      </c>
      <c r="B573" s="88">
        <v>5</v>
      </c>
      <c r="C573" s="110">
        <v>0.011702437699787942</v>
      </c>
      <c r="D573" s="88" t="s">
        <v>1781</v>
      </c>
      <c r="E573" s="88" t="b">
        <v>0</v>
      </c>
      <c r="F573" s="88" t="b">
        <v>1</v>
      </c>
      <c r="G573" s="88" t="b">
        <v>0</v>
      </c>
    </row>
    <row r="574" spans="1:7" ht="15">
      <c r="A574" s="83" t="s">
        <v>258</v>
      </c>
      <c r="B574" s="88">
        <v>4</v>
      </c>
      <c r="C574" s="110">
        <v>0.00661604386074684</v>
      </c>
      <c r="D574" s="88" t="s">
        <v>1781</v>
      </c>
      <c r="E574" s="88" t="b">
        <v>0</v>
      </c>
      <c r="F574" s="88" t="b">
        <v>0</v>
      </c>
      <c r="G574" s="88" t="b">
        <v>0</v>
      </c>
    </row>
    <row r="575" spans="1:7" ht="15">
      <c r="A575" s="83" t="s">
        <v>1999</v>
      </c>
      <c r="B575" s="88">
        <v>4</v>
      </c>
      <c r="C575" s="110">
        <v>0.009361950159830355</v>
      </c>
      <c r="D575" s="88" t="s">
        <v>1781</v>
      </c>
      <c r="E575" s="88" t="b">
        <v>0</v>
      </c>
      <c r="F575" s="88" t="b">
        <v>0</v>
      </c>
      <c r="G575" s="88" t="b">
        <v>0</v>
      </c>
    </row>
    <row r="576" spans="1:7" ht="15">
      <c r="A576" s="83" t="s">
        <v>2000</v>
      </c>
      <c r="B576" s="88">
        <v>3</v>
      </c>
      <c r="C576" s="110">
        <v>0.007021462619872766</v>
      </c>
      <c r="D576" s="88" t="s">
        <v>1781</v>
      </c>
      <c r="E576" s="88" t="b">
        <v>0</v>
      </c>
      <c r="F576" s="88" t="b">
        <v>0</v>
      </c>
      <c r="G576" s="88" t="b">
        <v>0</v>
      </c>
    </row>
    <row r="577" spans="1:7" ht="15">
      <c r="A577" s="83" t="s">
        <v>376</v>
      </c>
      <c r="B577" s="88">
        <v>3</v>
      </c>
      <c r="C577" s="110">
        <v>0.007021462619872766</v>
      </c>
      <c r="D577" s="88" t="s">
        <v>1781</v>
      </c>
      <c r="E577" s="88" t="b">
        <v>0</v>
      </c>
      <c r="F577" s="88" t="b">
        <v>0</v>
      </c>
      <c r="G577" s="88" t="b">
        <v>0</v>
      </c>
    </row>
    <row r="578" spans="1:7" ht="15">
      <c r="A578" s="83" t="s">
        <v>2464</v>
      </c>
      <c r="B578" s="88">
        <v>3</v>
      </c>
      <c r="C578" s="110">
        <v>0.007021462619872766</v>
      </c>
      <c r="D578" s="88" t="s">
        <v>1781</v>
      </c>
      <c r="E578" s="88" t="b">
        <v>0</v>
      </c>
      <c r="F578" s="88" t="b">
        <v>0</v>
      </c>
      <c r="G578" s="88" t="b">
        <v>0</v>
      </c>
    </row>
    <row r="579" spans="1:7" ht="15">
      <c r="A579" s="83" t="s">
        <v>2012</v>
      </c>
      <c r="B579" s="88">
        <v>3</v>
      </c>
      <c r="C579" s="110">
        <v>0.007021462619872766</v>
      </c>
      <c r="D579" s="88" t="s">
        <v>1781</v>
      </c>
      <c r="E579" s="88" t="b">
        <v>0</v>
      </c>
      <c r="F579" s="88" t="b">
        <v>0</v>
      </c>
      <c r="G579" s="88" t="b">
        <v>0</v>
      </c>
    </row>
    <row r="580" spans="1:7" ht="15">
      <c r="A580" s="83" t="s">
        <v>2502</v>
      </c>
      <c r="B580" s="88">
        <v>3</v>
      </c>
      <c r="C580" s="110">
        <v>0.007021462619872766</v>
      </c>
      <c r="D580" s="88" t="s">
        <v>1781</v>
      </c>
      <c r="E580" s="88" t="b">
        <v>0</v>
      </c>
      <c r="F580" s="88" t="b">
        <v>0</v>
      </c>
      <c r="G580" s="88" t="b">
        <v>0</v>
      </c>
    </row>
    <row r="581" spans="1:7" ht="15">
      <c r="A581" s="83" t="s">
        <v>2568</v>
      </c>
      <c r="B581" s="88">
        <v>2</v>
      </c>
      <c r="C581" s="110">
        <v>0.00661604386074684</v>
      </c>
      <c r="D581" s="88" t="s">
        <v>1781</v>
      </c>
      <c r="E581" s="88" t="b">
        <v>1</v>
      </c>
      <c r="F581" s="88" t="b">
        <v>0</v>
      </c>
      <c r="G581" s="88" t="b">
        <v>0</v>
      </c>
    </row>
    <row r="582" spans="1:7" ht="15">
      <c r="A582" s="83" t="s">
        <v>2437</v>
      </c>
      <c r="B582" s="88">
        <v>2</v>
      </c>
      <c r="C582" s="110">
        <v>0.009924065791120259</v>
      </c>
      <c r="D582" s="88" t="s">
        <v>1781</v>
      </c>
      <c r="E582" s="88" t="b">
        <v>0</v>
      </c>
      <c r="F582" s="88" t="b">
        <v>0</v>
      </c>
      <c r="G582" s="88" t="b">
        <v>0</v>
      </c>
    </row>
    <row r="583" spans="1:7" ht="15">
      <c r="A583" s="83" t="s">
        <v>2680</v>
      </c>
      <c r="B583" s="88">
        <v>2</v>
      </c>
      <c r="C583" s="110">
        <v>0.00661604386074684</v>
      </c>
      <c r="D583" s="88" t="s">
        <v>1781</v>
      </c>
      <c r="E583" s="88" t="b">
        <v>0</v>
      </c>
      <c r="F583" s="88" t="b">
        <v>0</v>
      </c>
      <c r="G583" s="88" t="b">
        <v>0</v>
      </c>
    </row>
    <row r="584" spans="1:7" ht="15">
      <c r="A584" s="83" t="s">
        <v>2681</v>
      </c>
      <c r="B584" s="88">
        <v>2</v>
      </c>
      <c r="C584" s="110">
        <v>0.00661604386074684</v>
      </c>
      <c r="D584" s="88" t="s">
        <v>1781</v>
      </c>
      <c r="E584" s="88" t="b">
        <v>0</v>
      </c>
      <c r="F584" s="88" t="b">
        <v>0</v>
      </c>
      <c r="G584" s="88" t="b">
        <v>0</v>
      </c>
    </row>
    <row r="585" spans="1:7" ht="15">
      <c r="A585" s="83" t="s">
        <v>2682</v>
      </c>
      <c r="B585" s="88">
        <v>2</v>
      </c>
      <c r="C585" s="110">
        <v>0.00661604386074684</v>
      </c>
      <c r="D585" s="88" t="s">
        <v>1781</v>
      </c>
      <c r="E585" s="88" t="b">
        <v>0</v>
      </c>
      <c r="F585" s="88" t="b">
        <v>0</v>
      </c>
      <c r="G585" s="88" t="b">
        <v>0</v>
      </c>
    </row>
    <row r="586" spans="1:7" ht="15">
      <c r="A586" s="83" t="s">
        <v>2683</v>
      </c>
      <c r="B586" s="88">
        <v>2</v>
      </c>
      <c r="C586" s="110">
        <v>0.00661604386074684</v>
      </c>
      <c r="D586" s="88" t="s">
        <v>1781</v>
      </c>
      <c r="E586" s="88" t="b">
        <v>0</v>
      </c>
      <c r="F586" s="88" t="b">
        <v>0</v>
      </c>
      <c r="G586" s="88" t="b">
        <v>0</v>
      </c>
    </row>
    <row r="587" spans="1:7" ht="15">
      <c r="A587" s="83" t="s">
        <v>1941</v>
      </c>
      <c r="B587" s="88">
        <v>2</v>
      </c>
      <c r="C587" s="110">
        <v>0.00661604386074684</v>
      </c>
      <c r="D587" s="88" t="s">
        <v>1781</v>
      </c>
      <c r="E587" s="88" t="b">
        <v>0</v>
      </c>
      <c r="F587" s="88" t="b">
        <v>0</v>
      </c>
      <c r="G587" s="88" t="b">
        <v>0</v>
      </c>
    </row>
    <row r="588" spans="1:7" ht="15">
      <c r="A588" s="83" t="s">
        <v>2684</v>
      </c>
      <c r="B588" s="88">
        <v>2</v>
      </c>
      <c r="C588" s="110">
        <v>0.00661604386074684</v>
      </c>
      <c r="D588" s="88" t="s">
        <v>1781</v>
      </c>
      <c r="E588" s="88" t="b">
        <v>0</v>
      </c>
      <c r="F588" s="88" t="b">
        <v>0</v>
      </c>
      <c r="G588" s="88" t="b">
        <v>0</v>
      </c>
    </row>
    <row r="589" spans="1:7" ht="15">
      <c r="A589" s="83" t="s">
        <v>2506</v>
      </c>
      <c r="B589" s="88">
        <v>2</v>
      </c>
      <c r="C589" s="110">
        <v>0.00661604386074684</v>
      </c>
      <c r="D589" s="88" t="s">
        <v>1781</v>
      </c>
      <c r="E589" s="88" t="b">
        <v>0</v>
      </c>
      <c r="F589" s="88" t="b">
        <v>0</v>
      </c>
      <c r="G589" s="88" t="b">
        <v>0</v>
      </c>
    </row>
    <row r="590" spans="1:7" ht="15">
      <c r="A590" s="83" t="s">
        <v>2685</v>
      </c>
      <c r="B590" s="88">
        <v>2</v>
      </c>
      <c r="C590" s="110">
        <v>0.00661604386074684</v>
      </c>
      <c r="D590" s="88" t="s">
        <v>1781</v>
      </c>
      <c r="E590" s="88" t="b">
        <v>1</v>
      </c>
      <c r="F590" s="88" t="b">
        <v>0</v>
      </c>
      <c r="G590" s="88" t="b">
        <v>0</v>
      </c>
    </row>
    <row r="591" spans="1:7" ht="15">
      <c r="A591" s="83" t="s">
        <v>2456</v>
      </c>
      <c r="B591" s="88">
        <v>2</v>
      </c>
      <c r="C591" s="110">
        <v>0.00661604386074684</v>
      </c>
      <c r="D591" s="88" t="s">
        <v>1781</v>
      </c>
      <c r="E591" s="88" t="b">
        <v>0</v>
      </c>
      <c r="F591" s="88" t="b">
        <v>0</v>
      </c>
      <c r="G591" s="88" t="b">
        <v>0</v>
      </c>
    </row>
    <row r="592" spans="1:7" ht="15">
      <c r="A592" s="83" t="s">
        <v>2686</v>
      </c>
      <c r="B592" s="88">
        <v>2</v>
      </c>
      <c r="C592" s="110">
        <v>0.00661604386074684</v>
      </c>
      <c r="D592" s="88" t="s">
        <v>1781</v>
      </c>
      <c r="E592" s="88" t="b">
        <v>0</v>
      </c>
      <c r="F592" s="88" t="b">
        <v>0</v>
      </c>
      <c r="G592" s="88" t="b">
        <v>0</v>
      </c>
    </row>
    <row r="593" spans="1:7" ht="15">
      <c r="A593" s="83" t="s">
        <v>2687</v>
      </c>
      <c r="B593" s="88">
        <v>2</v>
      </c>
      <c r="C593" s="110">
        <v>0.00661604386074684</v>
      </c>
      <c r="D593" s="88" t="s">
        <v>1781</v>
      </c>
      <c r="E593" s="88" t="b">
        <v>0</v>
      </c>
      <c r="F593" s="88" t="b">
        <v>0</v>
      </c>
      <c r="G593" s="88" t="b">
        <v>0</v>
      </c>
    </row>
    <row r="594" spans="1:7" ht="15">
      <c r="A594" s="83" t="s">
        <v>2688</v>
      </c>
      <c r="B594" s="88">
        <v>2</v>
      </c>
      <c r="C594" s="110">
        <v>0.00661604386074684</v>
      </c>
      <c r="D594" s="88" t="s">
        <v>1781</v>
      </c>
      <c r="E594" s="88" t="b">
        <v>0</v>
      </c>
      <c r="F594" s="88" t="b">
        <v>0</v>
      </c>
      <c r="G594" s="88" t="b">
        <v>0</v>
      </c>
    </row>
    <row r="595" spans="1:7" ht="15">
      <c r="A595" s="83" t="s">
        <v>2689</v>
      </c>
      <c r="B595" s="88">
        <v>2</v>
      </c>
      <c r="C595" s="110">
        <v>0.00661604386074684</v>
      </c>
      <c r="D595" s="88" t="s">
        <v>1781</v>
      </c>
      <c r="E595" s="88" t="b">
        <v>0</v>
      </c>
      <c r="F595" s="88" t="b">
        <v>0</v>
      </c>
      <c r="G595" s="88" t="b">
        <v>0</v>
      </c>
    </row>
    <row r="596" spans="1:7" ht="15">
      <c r="A596" s="83" t="s">
        <v>2690</v>
      </c>
      <c r="B596" s="88">
        <v>2</v>
      </c>
      <c r="C596" s="110">
        <v>0.00661604386074684</v>
      </c>
      <c r="D596" s="88" t="s">
        <v>1781</v>
      </c>
      <c r="E596" s="88" t="b">
        <v>0</v>
      </c>
      <c r="F596" s="88" t="b">
        <v>0</v>
      </c>
      <c r="G596" s="88" t="b">
        <v>0</v>
      </c>
    </row>
    <row r="597" spans="1:7" ht="15">
      <c r="A597" s="83" t="s">
        <v>1967</v>
      </c>
      <c r="B597" s="88">
        <v>2</v>
      </c>
      <c r="C597" s="110">
        <v>0.00661604386074684</v>
      </c>
      <c r="D597" s="88" t="s">
        <v>1781</v>
      </c>
      <c r="E597" s="88" t="b">
        <v>0</v>
      </c>
      <c r="F597" s="88" t="b">
        <v>0</v>
      </c>
      <c r="G597" s="88" t="b">
        <v>0</v>
      </c>
    </row>
    <row r="598" spans="1:7" ht="15">
      <c r="A598" s="83" t="s">
        <v>2563</v>
      </c>
      <c r="B598" s="88">
        <v>2</v>
      </c>
      <c r="C598" s="110">
        <v>0.00661604386074684</v>
      </c>
      <c r="D598" s="88" t="s">
        <v>1781</v>
      </c>
      <c r="E598" s="88" t="b">
        <v>0</v>
      </c>
      <c r="F598" s="88" t="b">
        <v>0</v>
      </c>
      <c r="G598" s="88" t="b">
        <v>0</v>
      </c>
    </row>
    <row r="599" spans="1:7" ht="15">
      <c r="A599" s="83" t="s">
        <v>2435</v>
      </c>
      <c r="B599" s="88">
        <v>2</v>
      </c>
      <c r="C599" s="110">
        <v>0.00661604386074684</v>
      </c>
      <c r="D599" s="88" t="s">
        <v>1781</v>
      </c>
      <c r="E599" s="88" t="b">
        <v>0</v>
      </c>
      <c r="F599" s="88" t="b">
        <v>0</v>
      </c>
      <c r="G599" s="88" t="b">
        <v>0</v>
      </c>
    </row>
    <row r="600" spans="1:7" ht="15">
      <c r="A600" s="83" t="s">
        <v>2697</v>
      </c>
      <c r="B600" s="88">
        <v>2</v>
      </c>
      <c r="C600" s="110">
        <v>0.00661604386074684</v>
      </c>
      <c r="D600" s="88" t="s">
        <v>1781</v>
      </c>
      <c r="E600" s="88" t="b">
        <v>0</v>
      </c>
      <c r="F600" s="88" t="b">
        <v>0</v>
      </c>
      <c r="G600" s="88" t="b">
        <v>0</v>
      </c>
    </row>
    <row r="601" spans="1:7" ht="15">
      <c r="A601" s="83" t="s">
        <v>2436</v>
      </c>
      <c r="B601" s="88">
        <v>2</v>
      </c>
      <c r="C601" s="110">
        <v>0.00661604386074684</v>
      </c>
      <c r="D601" s="88" t="s">
        <v>1781</v>
      </c>
      <c r="E601" s="88" t="b">
        <v>0</v>
      </c>
      <c r="F601" s="88" t="b">
        <v>0</v>
      </c>
      <c r="G601" s="88" t="b">
        <v>0</v>
      </c>
    </row>
    <row r="602" spans="1:7" ht="15">
      <c r="A602" s="83" t="s">
        <v>2698</v>
      </c>
      <c r="B602" s="88">
        <v>2</v>
      </c>
      <c r="C602" s="110">
        <v>0.00661604386074684</v>
      </c>
      <c r="D602" s="88" t="s">
        <v>1781</v>
      </c>
      <c r="E602" s="88" t="b">
        <v>0</v>
      </c>
      <c r="F602" s="88" t="b">
        <v>0</v>
      </c>
      <c r="G602" s="88" t="b">
        <v>0</v>
      </c>
    </row>
    <row r="603" spans="1:7" ht="15">
      <c r="A603" s="83" t="s">
        <v>2565</v>
      </c>
      <c r="B603" s="88">
        <v>2</v>
      </c>
      <c r="C603" s="110">
        <v>0.00661604386074684</v>
      </c>
      <c r="D603" s="88" t="s">
        <v>1781</v>
      </c>
      <c r="E603" s="88" t="b">
        <v>0</v>
      </c>
      <c r="F603" s="88" t="b">
        <v>0</v>
      </c>
      <c r="G603" s="88" t="b">
        <v>0</v>
      </c>
    </row>
    <row r="604" spans="1:7" ht="15">
      <c r="A604" s="83" t="s">
        <v>2564</v>
      </c>
      <c r="B604" s="88">
        <v>2</v>
      </c>
      <c r="C604" s="110">
        <v>0.00661604386074684</v>
      </c>
      <c r="D604" s="88" t="s">
        <v>1781</v>
      </c>
      <c r="E604" s="88" t="b">
        <v>0</v>
      </c>
      <c r="F604" s="88" t="b">
        <v>0</v>
      </c>
      <c r="G604" s="88" t="b">
        <v>0</v>
      </c>
    </row>
    <row r="605" spans="1:7" ht="15">
      <c r="A605" s="83" t="s">
        <v>2699</v>
      </c>
      <c r="B605" s="88">
        <v>2</v>
      </c>
      <c r="C605" s="110">
        <v>0.00661604386074684</v>
      </c>
      <c r="D605" s="88" t="s">
        <v>1781</v>
      </c>
      <c r="E605" s="88" t="b">
        <v>0</v>
      </c>
      <c r="F605" s="88" t="b">
        <v>0</v>
      </c>
      <c r="G605" s="88" t="b">
        <v>0</v>
      </c>
    </row>
    <row r="606" spans="1:7" ht="15">
      <c r="A606" s="83" t="s">
        <v>2002</v>
      </c>
      <c r="B606" s="88">
        <v>4</v>
      </c>
      <c r="C606" s="110">
        <v>0.010672197518526137</v>
      </c>
      <c r="D606" s="88" t="s">
        <v>1782</v>
      </c>
      <c r="E606" s="88" t="b">
        <v>0</v>
      </c>
      <c r="F606" s="88" t="b">
        <v>0</v>
      </c>
      <c r="G606" s="88" t="b">
        <v>0</v>
      </c>
    </row>
    <row r="607" spans="1:7" ht="15">
      <c r="A607" s="83" t="s">
        <v>2003</v>
      </c>
      <c r="B607" s="88">
        <v>4</v>
      </c>
      <c r="C607" s="110">
        <v>0.010672197518526137</v>
      </c>
      <c r="D607" s="88" t="s">
        <v>1782</v>
      </c>
      <c r="E607" s="88" t="b">
        <v>0</v>
      </c>
      <c r="F607" s="88" t="b">
        <v>0</v>
      </c>
      <c r="G607" s="88" t="b">
        <v>0</v>
      </c>
    </row>
    <row r="608" spans="1:7" ht="15">
      <c r="A608" s="83" t="s">
        <v>373</v>
      </c>
      <c r="B608" s="88">
        <v>3</v>
      </c>
      <c r="C608" s="110">
        <v>0</v>
      </c>
      <c r="D608" s="88" t="s">
        <v>1782</v>
      </c>
      <c r="E608" s="88" t="b">
        <v>0</v>
      </c>
      <c r="F608" s="88" t="b">
        <v>0</v>
      </c>
      <c r="G608" s="88" t="b">
        <v>0</v>
      </c>
    </row>
    <row r="609" spans="1:7" ht="15">
      <c r="A609" s="83" t="s">
        <v>1944</v>
      </c>
      <c r="B609" s="88">
        <v>3</v>
      </c>
      <c r="C609" s="110">
        <v>0</v>
      </c>
      <c r="D609" s="88" t="s">
        <v>1782</v>
      </c>
      <c r="E609" s="88" t="b">
        <v>0</v>
      </c>
      <c r="F609" s="88" t="b">
        <v>0</v>
      </c>
      <c r="G609" s="88" t="b">
        <v>0</v>
      </c>
    </row>
    <row r="610" spans="1:7" ht="15">
      <c r="A610" s="83" t="s">
        <v>2004</v>
      </c>
      <c r="B610" s="88">
        <v>2</v>
      </c>
      <c r="C610" s="110">
        <v>0.005336098759263068</v>
      </c>
      <c r="D610" s="88" t="s">
        <v>1782</v>
      </c>
      <c r="E610" s="88" t="b">
        <v>0</v>
      </c>
      <c r="F610" s="88" t="b">
        <v>0</v>
      </c>
      <c r="G610" s="88" t="b">
        <v>0</v>
      </c>
    </row>
    <row r="611" spans="1:7" ht="15">
      <c r="A611" s="83" t="s">
        <v>2005</v>
      </c>
      <c r="B611" s="88">
        <v>2</v>
      </c>
      <c r="C611" s="110">
        <v>0.005336098759263068</v>
      </c>
      <c r="D611" s="88" t="s">
        <v>1782</v>
      </c>
      <c r="E611" s="88" t="b">
        <v>0</v>
      </c>
      <c r="F611" s="88" t="b">
        <v>0</v>
      </c>
      <c r="G611" s="88" t="b">
        <v>0</v>
      </c>
    </row>
    <row r="612" spans="1:7" ht="15">
      <c r="A612" s="83" t="s">
        <v>2006</v>
      </c>
      <c r="B612" s="88">
        <v>2</v>
      </c>
      <c r="C612" s="110">
        <v>0.005336098759263068</v>
      </c>
      <c r="D612" s="88" t="s">
        <v>1782</v>
      </c>
      <c r="E612" s="88" t="b">
        <v>0</v>
      </c>
      <c r="F612" s="88" t="b">
        <v>0</v>
      </c>
      <c r="G612" s="88" t="b">
        <v>0</v>
      </c>
    </row>
    <row r="613" spans="1:7" ht="15">
      <c r="A613" s="83" t="s">
        <v>2007</v>
      </c>
      <c r="B613" s="88">
        <v>2</v>
      </c>
      <c r="C613" s="110">
        <v>0.005336098759263068</v>
      </c>
      <c r="D613" s="88" t="s">
        <v>1782</v>
      </c>
      <c r="E613" s="88" t="b">
        <v>0</v>
      </c>
      <c r="F613" s="88" t="b">
        <v>0</v>
      </c>
      <c r="G613" s="88" t="b">
        <v>0</v>
      </c>
    </row>
    <row r="614" spans="1:7" ht="15">
      <c r="A614" s="83" t="s">
        <v>2008</v>
      </c>
      <c r="B614" s="88">
        <v>2</v>
      </c>
      <c r="C614" s="110">
        <v>0.005336098759263068</v>
      </c>
      <c r="D614" s="88" t="s">
        <v>1782</v>
      </c>
      <c r="E614" s="88" t="b">
        <v>0</v>
      </c>
      <c r="F614" s="88" t="b">
        <v>0</v>
      </c>
      <c r="G614" s="88" t="b">
        <v>0</v>
      </c>
    </row>
    <row r="615" spans="1:7" ht="15">
      <c r="A615" s="83" t="s">
        <v>2009</v>
      </c>
      <c r="B615" s="88">
        <v>2</v>
      </c>
      <c r="C615" s="110">
        <v>0.005336098759263068</v>
      </c>
      <c r="D615" s="88" t="s">
        <v>1782</v>
      </c>
      <c r="E615" s="88" t="b">
        <v>0</v>
      </c>
      <c r="F615" s="88" t="b">
        <v>0</v>
      </c>
      <c r="G615" s="88" t="b">
        <v>0</v>
      </c>
    </row>
    <row r="616" spans="1:7" ht="15">
      <c r="A616" s="83" t="s">
        <v>2543</v>
      </c>
      <c r="B616" s="88">
        <v>2</v>
      </c>
      <c r="C616" s="110">
        <v>0.005336098759263068</v>
      </c>
      <c r="D616" s="88" t="s">
        <v>1782</v>
      </c>
      <c r="E616" s="88" t="b">
        <v>0</v>
      </c>
      <c r="F616" s="88" t="b">
        <v>0</v>
      </c>
      <c r="G616" s="88" t="b">
        <v>0</v>
      </c>
    </row>
    <row r="617" spans="1:7" ht="15">
      <c r="A617" s="83" t="s">
        <v>372</v>
      </c>
      <c r="B617" s="88">
        <v>2</v>
      </c>
      <c r="C617" s="110">
        <v>0.005336098759263068</v>
      </c>
      <c r="D617" s="88" t="s">
        <v>1782</v>
      </c>
      <c r="E617" s="88" t="b">
        <v>0</v>
      </c>
      <c r="F617" s="88" t="b">
        <v>0</v>
      </c>
      <c r="G617" s="88" t="b">
        <v>0</v>
      </c>
    </row>
    <row r="618" spans="1:7" ht="15">
      <c r="A618" s="83" t="s">
        <v>2692</v>
      </c>
      <c r="B618" s="88">
        <v>2</v>
      </c>
      <c r="C618" s="110">
        <v>0.005336098759263068</v>
      </c>
      <c r="D618" s="88" t="s">
        <v>1782</v>
      </c>
      <c r="E618" s="88" t="b">
        <v>0</v>
      </c>
      <c r="F618" s="88" t="b">
        <v>0</v>
      </c>
      <c r="G618" s="88" t="b">
        <v>0</v>
      </c>
    </row>
    <row r="619" spans="1:7" ht="15">
      <c r="A619" s="83" t="s">
        <v>2495</v>
      </c>
      <c r="B619" s="88">
        <v>2</v>
      </c>
      <c r="C619" s="110">
        <v>0.005336098759263068</v>
      </c>
      <c r="D619" s="88" t="s">
        <v>1782</v>
      </c>
      <c r="E619" s="88" t="b">
        <v>0</v>
      </c>
      <c r="F619" s="88" t="b">
        <v>0</v>
      </c>
      <c r="G619" s="88" t="b">
        <v>0</v>
      </c>
    </row>
    <row r="620" spans="1:7" ht="15">
      <c r="A620" s="83" t="s">
        <v>2472</v>
      </c>
      <c r="B620" s="88">
        <v>2</v>
      </c>
      <c r="C620" s="110">
        <v>0.005336098759263068</v>
      </c>
      <c r="D620" s="88" t="s">
        <v>1782</v>
      </c>
      <c r="E620" s="88" t="b">
        <v>0</v>
      </c>
      <c r="F620" s="88" t="b">
        <v>0</v>
      </c>
      <c r="G620" s="88" t="b">
        <v>0</v>
      </c>
    </row>
    <row r="621" spans="1:7" ht="15">
      <c r="A621" s="83" t="s">
        <v>2693</v>
      </c>
      <c r="B621" s="88">
        <v>2</v>
      </c>
      <c r="C621" s="110">
        <v>0.005336098759263068</v>
      </c>
      <c r="D621" s="88" t="s">
        <v>1782</v>
      </c>
      <c r="E621" s="88" t="b">
        <v>0</v>
      </c>
      <c r="F621" s="88" t="b">
        <v>0</v>
      </c>
      <c r="G621" s="88" t="b">
        <v>0</v>
      </c>
    </row>
    <row r="622" spans="1:7" ht="15">
      <c r="A622" s="83" t="s">
        <v>2442</v>
      </c>
      <c r="B622" s="88">
        <v>2</v>
      </c>
      <c r="C622" s="110">
        <v>0.005336098759263068</v>
      </c>
      <c r="D622" s="88" t="s">
        <v>1782</v>
      </c>
      <c r="E622" s="88" t="b">
        <v>0</v>
      </c>
      <c r="F622" s="88" t="b">
        <v>0</v>
      </c>
      <c r="G622" s="88" t="b">
        <v>0</v>
      </c>
    </row>
    <row r="623" spans="1:7" ht="15">
      <c r="A623" s="83" t="s">
        <v>1964</v>
      </c>
      <c r="B623" s="88">
        <v>2</v>
      </c>
      <c r="C623" s="110">
        <v>0.005336098759263068</v>
      </c>
      <c r="D623" s="88" t="s">
        <v>1782</v>
      </c>
      <c r="E623" s="88" t="b">
        <v>0</v>
      </c>
      <c r="F623" s="88" t="b">
        <v>0</v>
      </c>
      <c r="G623" s="88" t="b">
        <v>0</v>
      </c>
    </row>
    <row r="624" spans="1:7" ht="15">
      <c r="A624" s="83" t="s">
        <v>1965</v>
      </c>
      <c r="B624" s="88">
        <v>2</v>
      </c>
      <c r="C624" s="110">
        <v>0.005336098759263068</v>
      </c>
      <c r="D624" s="88" t="s">
        <v>1782</v>
      </c>
      <c r="E624" s="88" t="b">
        <v>0</v>
      </c>
      <c r="F624" s="88" t="b">
        <v>0</v>
      </c>
      <c r="G624" s="88" t="b">
        <v>0</v>
      </c>
    </row>
    <row r="625" spans="1:7" ht="15">
      <c r="A625" s="83" t="s">
        <v>2499</v>
      </c>
      <c r="B625" s="88">
        <v>2</v>
      </c>
      <c r="C625" s="110">
        <v>0.005336098759263068</v>
      </c>
      <c r="D625" s="88" t="s">
        <v>1782</v>
      </c>
      <c r="E625" s="88" t="b">
        <v>0</v>
      </c>
      <c r="F625" s="88" t="b">
        <v>0</v>
      </c>
      <c r="G625" s="88" t="b">
        <v>0</v>
      </c>
    </row>
    <row r="626" spans="1:7" ht="15">
      <c r="A626" s="83" t="s">
        <v>250</v>
      </c>
      <c r="B626" s="88">
        <v>2</v>
      </c>
      <c r="C626" s="110">
        <v>0.005336098759263068</v>
      </c>
      <c r="D626" s="88" t="s">
        <v>1782</v>
      </c>
      <c r="E626" s="88" t="b">
        <v>0</v>
      </c>
      <c r="F626" s="88" t="b">
        <v>0</v>
      </c>
      <c r="G626" s="88" t="b">
        <v>0</v>
      </c>
    </row>
    <row r="627" spans="1:7" ht="15">
      <c r="A627" s="83" t="s">
        <v>1964</v>
      </c>
      <c r="B627" s="88">
        <v>12</v>
      </c>
      <c r="C627" s="110">
        <v>0</v>
      </c>
      <c r="D627" s="88" t="s">
        <v>1783</v>
      </c>
      <c r="E627" s="88" t="b">
        <v>0</v>
      </c>
      <c r="F627" s="88" t="b">
        <v>0</v>
      </c>
      <c r="G627" s="88" t="b">
        <v>0</v>
      </c>
    </row>
    <row r="628" spans="1:7" ht="15">
      <c r="A628" s="83" t="s">
        <v>1971</v>
      </c>
      <c r="B628" s="88">
        <v>6</v>
      </c>
      <c r="C628" s="110">
        <v>0</v>
      </c>
      <c r="D628" s="88" t="s">
        <v>1783</v>
      </c>
      <c r="E628" s="88" t="b">
        <v>0</v>
      </c>
      <c r="F628" s="88" t="b">
        <v>0</v>
      </c>
      <c r="G628" s="88" t="b">
        <v>0</v>
      </c>
    </row>
    <row r="629" spans="1:7" ht="15">
      <c r="A629" s="83" t="s">
        <v>1991</v>
      </c>
      <c r="B629" s="88">
        <v>6</v>
      </c>
      <c r="C629" s="110">
        <v>0</v>
      </c>
      <c r="D629" s="88" t="s">
        <v>1783</v>
      </c>
      <c r="E629" s="88" t="b">
        <v>0</v>
      </c>
      <c r="F629" s="88" t="b">
        <v>0</v>
      </c>
      <c r="G629" s="88" t="b">
        <v>0</v>
      </c>
    </row>
    <row r="630" spans="1:7" ht="15">
      <c r="A630" s="83" t="s">
        <v>2011</v>
      </c>
      <c r="B630" s="88">
        <v>6</v>
      </c>
      <c r="C630" s="110">
        <v>0</v>
      </c>
      <c r="D630" s="88" t="s">
        <v>1783</v>
      </c>
      <c r="E630" s="88" t="b">
        <v>0</v>
      </c>
      <c r="F630" s="88" t="b">
        <v>0</v>
      </c>
      <c r="G630" s="88" t="b">
        <v>0</v>
      </c>
    </row>
    <row r="631" spans="1:7" ht="15">
      <c r="A631" s="83" t="s">
        <v>2012</v>
      </c>
      <c r="B631" s="88">
        <v>6</v>
      </c>
      <c r="C631" s="110">
        <v>0</v>
      </c>
      <c r="D631" s="88" t="s">
        <v>1783</v>
      </c>
      <c r="E631" s="88" t="b">
        <v>0</v>
      </c>
      <c r="F631" s="88" t="b">
        <v>0</v>
      </c>
      <c r="G631" s="88" t="b">
        <v>0</v>
      </c>
    </row>
    <row r="632" spans="1:7" ht="15">
      <c r="A632" s="83" t="s">
        <v>2013</v>
      </c>
      <c r="B632" s="88">
        <v>6</v>
      </c>
      <c r="C632" s="110">
        <v>0</v>
      </c>
      <c r="D632" s="88" t="s">
        <v>1783</v>
      </c>
      <c r="E632" s="88" t="b">
        <v>0</v>
      </c>
      <c r="F632" s="88" t="b">
        <v>0</v>
      </c>
      <c r="G632" s="88" t="b">
        <v>0</v>
      </c>
    </row>
    <row r="633" spans="1:7" ht="15">
      <c r="A633" s="83" t="s">
        <v>2014</v>
      </c>
      <c r="B633" s="88">
        <v>6</v>
      </c>
      <c r="C633" s="110">
        <v>0</v>
      </c>
      <c r="D633" s="88" t="s">
        <v>1783</v>
      </c>
      <c r="E633" s="88" t="b">
        <v>0</v>
      </c>
      <c r="F633" s="88" t="b">
        <v>0</v>
      </c>
      <c r="G633" s="88" t="b">
        <v>0</v>
      </c>
    </row>
    <row r="634" spans="1:7" ht="15">
      <c r="A634" s="83" t="s">
        <v>1967</v>
      </c>
      <c r="B634" s="88">
        <v>6</v>
      </c>
      <c r="C634" s="110">
        <v>0</v>
      </c>
      <c r="D634" s="88" t="s">
        <v>1783</v>
      </c>
      <c r="E634" s="88" t="b">
        <v>0</v>
      </c>
      <c r="F634" s="88" t="b">
        <v>0</v>
      </c>
      <c r="G634" s="88" t="b">
        <v>0</v>
      </c>
    </row>
    <row r="635" spans="1:7" ht="15">
      <c r="A635" s="83" t="s">
        <v>1944</v>
      </c>
      <c r="B635" s="88">
        <v>6</v>
      </c>
      <c r="C635" s="110">
        <v>0</v>
      </c>
      <c r="D635" s="88" t="s">
        <v>1783</v>
      </c>
      <c r="E635" s="88" t="b">
        <v>0</v>
      </c>
      <c r="F635" s="88" t="b">
        <v>0</v>
      </c>
      <c r="G635" s="88" t="b">
        <v>0</v>
      </c>
    </row>
    <row r="636" spans="1:7" ht="15">
      <c r="A636" s="83" t="s">
        <v>2015</v>
      </c>
      <c r="B636" s="88">
        <v>6</v>
      </c>
      <c r="C636" s="110">
        <v>0</v>
      </c>
      <c r="D636" s="88" t="s">
        <v>1783</v>
      </c>
      <c r="E636" s="88" t="b">
        <v>0</v>
      </c>
      <c r="F636" s="88" t="b">
        <v>0</v>
      </c>
      <c r="G636" s="88" t="b">
        <v>0</v>
      </c>
    </row>
    <row r="637" spans="1:7" ht="15">
      <c r="A637" s="83" t="s">
        <v>2446</v>
      </c>
      <c r="B637" s="88">
        <v>6</v>
      </c>
      <c r="C637" s="110">
        <v>0</v>
      </c>
      <c r="D637" s="88" t="s">
        <v>1783</v>
      </c>
      <c r="E637" s="88" t="b">
        <v>0</v>
      </c>
      <c r="F637" s="88" t="b">
        <v>0</v>
      </c>
      <c r="G637" s="88" t="b">
        <v>0</v>
      </c>
    </row>
    <row r="638" spans="1:7" ht="15">
      <c r="A638" s="83" t="s">
        <v>1972</v>
      </c>
      <c r="B638" s="88">
        <v>6</v>
      </c>
      <c r="C638" s="110">
        <v>0</v>
      </c>
      <c r="D638" s="88" t="s">
        <v>1783</v>
      </c>
      <c r="E638" s="88" t="b">
        <v>0</v>
      </c>
      <c r="F638" s="88" t="b">
        <v>0</v>
      </c>
      <c r="G638" s="88" t="b">
        <v>0</v>
      </c>
    </row>
    <row r="639" spans="1:7" ht="15">
      <c r="A639" s="83" t="s">
        <v>2447</v>
      </c>
      <c r="B639" s="88">
        <v>6</v>
      </c>
      <c r="C639" s="110">
        <v>0</v>
      </c>
      <c r="D639" s="88" t="s">
        <v>1783</v>
      </c>
      <c r="E639" s="88" t="b">
        <v>0</v>
      </c>
      <c r="F639" s="88" t="b">
        <v>0</v>
      </c>
      <c r="G639" s="88" t="b">
        <v>0</v>
      </c>
    </row>
    <row r="640" spans="1:7" ht="15">
      <c r="A640" s="83" t="s">
        <v>1988</v>
      </c>
      <c r="B640" s="88">
        <v>6</v>
      </c>
      <c r="C640" s="110">
        <v>0</v>
      </c>
      <c r="D640" s="88" t="s">
        <v>1783</v>
      </c>
      <c r="E640" s="88" t="b">
        <v>0</v>
      </c>
      <c r="F640" s="88" t="b">
        <v>0</v>
      </c>
      <c r="G640" s="88" t="b">
        <v>0</v>
      </c>
    </row>
    <row r="641" spans="1:7" ht="15">
      <c r="A641" s="83" t="s">
        <v>1965</v>
      </c>
      <c r="B641" s="88">
        <v>6</v>
      </c>
      <c r="C641" s="110">
        <v>0</v>
      </c>
      <c r="D641" s="88" t="s">
        <v>1783</v>
      </c>
      <c r="E641" s="88" t="b">
        <v>0</v>
      </c>
      <c r="F641" s="88" t="b">
        <v>0</v>
      </c>
      <c r="G641" s="88" t="b">
        <v>0</v>
      </c>
    </row>
    <row r="642" spans="1:7" ht="15">
      <c r="A642" s="83" t="s">
        <v>2448</v>
      </c>
      <c r="B642" s="88">
        <v>6</v>
      </c>
      <c r="C642" s="110">
        <v>0</v>
      </c>
      <c r="D642" s="88" t="s">
        <v>1783</v>
      </c>
      <c r="E642" s="88" t="b">
        <v>0</v>
      </c>
      <c r="F642" s="88" t="b">
        <v>0</v>
      </c>
      <c r="G642" s="88" t="b">
        <v>0</v>
      </c>
    </row>
    <row r="643" spans="1:7" ht="15">
      <c r="A643" s="83" t="s">
        <v>2449</v>
      </c>
      <c r="B643" s="88">
        <v>6</v>
      </c>
      <c r="C643" s="110">
        <v>0</v>
      </c>
      <c r="D643" s="88" t="s">
        <v>1783</v>
      </c>
      <c r="E643" s="88" t="b">
        <v>0</v>
      </c>
      <c r="F643" s="88" t="b">
        <v>0</v>
      </c>
      <c r="G643" s="88" t="b">
        <v>0</v>
      </c>
    </row>
    <row r="644" spans="1:7" ht="15">
      <c r="A644" s="83" t="s">
        <v>2450</v>
      </c>
      <c r="B644" s="88">
        <v>6</v>
      </c>
      <c r="C644" s="110">
        <v>0</v>
      </c>
      <c r="D644" s="88" t="s">
        <v>1783</v>
      </c>
      <c r="E644" s="88" t="b">
        <v>0</v>
      </c>
      <c r="F644" s="88" t="b">
        <v>0</v>
      </c>
      <c r="G644" s="88" t="b">
        <v>0</v>
      </c>
    </row>
    <row r="645" spans="1:7" ht="15">
      <c r="A645" s="83" t="s">
        <v>2451</v>
      </c>
      <c r="B645" s="88">
        <v>6</v>
      </c>
      <c r="C645" s="110">
        <v>0</v>
      </c>
      <c r="D645" s="88" t="s">
        <v>1783</v>
      </c>
      <c r="E645" s="88" t="b">
        <v>0</v>
      </c>
      <c r="F645" s="88" t="b">
        <v>0</v>
      </c>
      <c r="G645" s="88" t="b">
        <v>0</v>
      </c>
    </row>
    <row r="646" spans="1:7" ht="15">
      <c r="A646" s="83" t="s">
        <v>2452</v>
      </c>
      <c r="B646" s="88">
        <v>6</v>
      </c>
      <c r="C646" s="110">
        <v>0</v>
      </c>
      <c r="D646" s="88" t="s">
        <v>1783</v>
      </c>
      <c r="E646" s="88" t="b">
        <v>0</v>
      </c>
      <c r="F646" s="88" t="b">
        <v>0</v>
      </c>
      <c r="G646" s="88" t="b">
        <v>0</v>
      </c>
    </row>
    <row r="647" spans="1:7" ht="15">
      <c r="A647" s="83" t="s">
        <v>2453</v>
      </c>
      <c r="B647" s="88">
        <v>6</v>
      </c>
      <c r="C647" s="110">
        <v>0</v>
      </c>
      <c r="D647" s="88" t="s">
        <v>1783</v>
      </c>
      <c r="E647" s="88" t="b">
        <v>0</v>
      </c>
      <c r="F647" s="88" t="b">
        <v>0</v>
      </c>
      <c r="G647" s="88" t="b">
        <v>0</v>
      </c>
    </row>
    <row r="648" spans="1:7" ht="15">
      <c r="A648" s="83" t="s">
        <v>2454</v>
      </c>
      <c r="B648" s="88">
        <v>6</v>
      </c>
      <c r="C648" s="110">
        <v>0</v>
      </c>
      <c r="D648" s="88" t="s">
        <v>1783</v>
      </c>
      <c r="E648" s="88" t="b">
        <v>0</v>
      </c>
      <c r="F648" s="88" t="b">
        <v>0</v>
      </c>
      <c r="G648" s="88" t="b">
        <v>0</v>
      </c>
    </row>
    <row r="649" spans="1:7" ht="15">
      <c r="A649" s="83" t="s">
        <v>2455</v>
      </c>
      <c r="B649" s="88">
        <v>6</v>
      </c>
      <c r="C649" s="110">
        <v>0</v>
      </c>
      <c r="D649" s="88" t="s">
        <v>1783</v>
      </c>
      <c r="E649" s="88" t="b">
        <v>0</v>
      </c>
      <c r="F649" s="88" t="b">
        <v>0</v>
      </c>
      <c r="G649" s="88" t="b">
        <v>0</v>
      </c>
    </row>
    <row r="650" spans="1:7" ht="15">
      <c r="A650" s="83" t="s">
        <v>2017</v>
      </c>
      <c r="B650" s="88">
        <v>3</v>
      </c>
      <c r="C650" s="110">
        <v>0</v>
      </c>
      <c r="D650" s="88" t="s">
        <v>1784</v>
      </c>
      <c r="E650" s="88" t="b">
        <v>0</v>
      </c>
      <c r="F650" s="88" t="b">
        <v>0</v>
      </c>
      <c r="G650" s="88" t="b">
        <v>0</v>
      </c>
    </row>
    <row r="651" spans="1:7" ht="15">
      <c r="A651" s="83" t="s">
        <v>2018</v>
      </c>
      <c r="B651" s="88">
        <v>3</v>
      </c>
      <c r="C651" s="110">
        <v>0</v>
      </c>
      <c r="D651" s="88" t="s">
        <v>1784</v>
      </c>
      <c r="E651" s="88" t="b">
        <v>0</v>
      </c>
      <c r="F651" s="88" t="b">
        <v>0</v>
      </c>
      <c r="G651" s="88" t="b">
        <v>0</v>
      </c>
    </row>
    <row r="652" spans="1:7" ht="15">
      <c r="A652" s="83" t="s">
        <v>1964</v>
      </c>
      <c r="B652" s="88">
        <v>3</v>
      </c>
      <c r="C652" s="110">
        <v>0</v>
      </c>
      <c r="D652" s="88" t="s">
        <v>1784</v>
      </c>
      <c r="E652" s="88" t="b">
        <v>0</v>
      </c>
      <c r="F652" s="88" t="b">
        <v>0</v>
      </c>
      <c r="G652" s="88" t="b">
        <v>0</v>
      </c>
    </row>
    <row r="653" spans="1:7" ht="15">
      <c r="A653" s="83" t="s">
        <v>1965</v>
      </c>
      <c r="B653" s="88">
        <v>3</v>
      </c>
      <c r="C653" s="110">
        <v>0</v>
      </c>
      <c r="D653" s="88" t="s">
        <v>1784</v>
      </c>
      <c r="E653" s="88" t="b">
        <v>0</v>
      </c>
      <c r="F653" s="88" t="b">
        <v>0</v>
      </c>
      <c r="G653" s="88" t="b">
        <v>0</v>
      </c>
    </row>
    <row r="654" spans="1:7" ht="15">
      <c r="A654" s="83" t="s">
        <v>1944</v>
      </c>
      <c r="B654" s="88">
        <v>3</v>
      </c>
      <c r="C654" s="110">
        <v>0</v>
      </c>
      <c r="D654" s="88" t="s">
        <v>1784</v>
      </c>
      <c r="E654" s="88" t="b">
        <v>0</v>
      </c>
      <c r="F654" s="88" t="b">
        <v>0</v>
      </c>
      <c r="G654" s="88" t="b">
        <v>0</v>
      </c>
    </row>
    <row r="655" spans="1:7" ht="15">
      <c r="A655" s="83" t="s">
        <v>2019</v>
      </c>
      <c r="B655" s="88">
        <v>2</v>
      </c>
      <c r="C655" s="110">
        <v>0.009030320977214422</v>
      </c>
      <c r="D655" s="88" t="s">
        <v>1784</v>
      </c>
      <c r="E655" s="88" t="b">
        <v>0</v>
      </c>
      <c r="F655" s="88" t="b">
        <v>0</v>
      </c>
      <c r="G655" s="88" t="b">
        <v>0</v>
      </c>
    </row>
    <row r="656" spans="1:7" ht="15">
      <c r="A656" s="83" t="s">
        <v>2020</v>
      </c>
      <c r="B656" s="88">
        <v>2</v>
      </c>
      <c r="C656" s="110">
        <v>0.009030320977214422</v>
      </c>
      <c r="D656" s="88" t="s">
        <v>1784</v>
      </c>
      <c r="E656" s="88" t="b">
        <v>0</v>
      </c>
      <c r="F656" s="88" t="b">
        <v>0</v>
      </c>
      <c r="G656" s="88" t="b">
        <v>0</v>
      </c>
    </row>
    <row r="657" spans="1:7" ht="15">
      <c r="A657" s="83" t="s">
        <v>2021</v>
      </c>
      <c r="B657" s="88">
        <v>2</v>
      </c>
      <c r="C657" s="110">
        <v>0.009030320977214422</v>
      </c>
      <c r="D657" s="88" t="s">
        <v>1784</v>
      </c>
      <c r="E657" s="88" t="b">
        <v>0</v>
      </c>
      <c r="F657" s="88" t="b">
        <v>0</v>
      </c>
      <c r="G657" s="88" t="b">
        <v>0</v>
      </c>
    </row>
    <row r="658" spans="1:7" ht="15">
      <c r="A658" s="83" t="s">
        <v>2022</v>
      </c>
      <c r="B658" s="88">
        <v>2</v>
      </c>
      <c r="C658" s="110">
        <v>0.009030320977214422</v>
      </c>
      <c r="D658" s="88" t="s">
        <v>1784</v>
      </c>
      <c r="E658" s="88" t="b">
        <v>0</v>
      </c>
      <c r="F658" s="88" t="b">
        <v>0</v>
      </c>
      <c r="G658" s="88" t="b">
        <v>0</v>
      </c>
    </row>
    <row r="659" spans="1:7" ht="15">
      <c r="A659" s="83" t="s">
        <v>2023</v>
      </c>
      <c r="B659" s="88">
        <v>2</v>
      </c>
      <c r="C659" s="110">
        <v>0.009030320977214422</v>
      </c>
      <c r="D659" s="88" t="s">
        <v>1784</v>
      </c>
      <c r="E659" s="88" t="b">
        <v>0</v>
      </c>
      <c r="F659" s="88" t="b">
        <v>0</v>
      </c>
      <c r="G659" s="88" t="b">
        <v>0</v>
      </c>
    </row>
    <row r="660" spans="1:7" ht="15">
      <c r="A660" s="83" t="s">
        <v>2647</v>
      </c>
      <c r="B660" s="88">
        <v>2</v>
      </c>
      <c r="C660" s="110">
        <v>0.009030320977214422</v>
      </c>
      <c r="D660" s="88" t="s">
        <v>1784</v>
      </c>
      <c r="E660" s="88" t="b">
        <v>0</v>
      </c>
      <c r="F660" s="88" t="b">
        <v>0</v>
      </c>
      <c r="G660" s="88" t="b">
        <v>0</v>
      </c>
    </row>
    <row r="661" spans="1:7" ht="15">
      <c r="A661" s="83" t="s">
        <v>2648</v>
      </c>
      <c r="B661" s="88">
        <v>2</v>
      </c>
      <c r="C661" s="110">
        <v>0.009030320977214422</v>
      </c>
      <c r="D661" s="88" t="s">
        <v>1784</v>
      </c>
      <c r="E661" s="88" t="b">
        <v>0</v>
      </c>
      <c r="F661" s="88" t="b">
        <v>0</v>
      </c>
      <c r="G661" s="88" t="b">
        <v>0</v>
      </c>
    </row>
    <row r="662" spans="1:7" ht="15">
      <c r="A662" s="83" t="s">
        <v>389</v>
      </c>
      <c r="B662" s="88">
        <v>2</v>
      </c>
      <c r="C662" s="110">
        <v>0.009030320977214422</v>
      </c>
      <c r="D662" s="88" t="s">
        <v>1784</v>
      </c>
      <c r="E662" s="88" t="b">
        <v>0</v>
      </c>
      <c r="F662" s="88" t="b">
        <v>0</v>
      </c>
      <c r="G662" s="88" t="b">
        <v>0</v>
      </c>
    </row>
    <row r="663" spans="1:7" ht="15">
      <c r="A663" s="83" t="s">
        <v>1987</v>
      </c>
      <c r="B663" s="88">
        <v>10</v>
      </c>
      <c r="C663" s="110">
        <v>0.005953477146437956</v>
      </c>
      <c r="D663" s="88" t="s">
        <v>1786</v>
      </c>
      <c r="E663" s="88" t="b">
        <v>0</v>
      </c>
      <c r="F663" s="88" t="b">
        <v>0</v>
      </c>
      <c r="G663" s="88" t="b">
        <v>0</v>
      </c>
    </row>
    <row r="664" spans="1:7" ht="15">
      <c r="A664" s="83" t="s">
        <v>2026</v>
      </c>
      <c r="B664" s="88">
        <v>6</v>
      </c>
      <c r="C664" s="110">
        <v>0</v>
      </c>
      <c r="D664" s="88" t="s">
        <v>1786</v>
      </c>
      <c r="E664" s="88" t="b">
        <v>0</v>
      </c>
      <c r="F664" s="88" t="b">
        <v>0</v>
      </c>
      <c r="G664" s="88" t="b">
        <v>0</v>
      </c>
    </row>
    <row r="665" spans="1:7" ht="15">
      <c r="A665" s="83" t="s">
        <v>1964</v>
      </c>
      <c r="B665" s="88">
        <v>6</v>
      </c>
      <c r="C665" s="110">
        <v>0</v>
      </c>
      <c r="D665" s="88" t="s">
        <v>1786</v>
      </c>
      <c r="E665" s="88" t="b">
        <v>0</v>
      </c>
      <c r="F665" s="88" t="b">
        <v>0</v>
      </c>
      <c r="G665" s="88" t="b">
        <v>0</v>
      </c>
    </row>
    <row r="666" spans="1:7" ht="15">
      <c r="A666" s="83" t="s">
        <v>1965</v>
      </c>
      <c r="B666" s="88">
        <v>6</v>
      </c>
      <c r="C666" s="110">
        <v>0</v>
      </c>
      <c r="D666" s="88" t="s">
        <v>1786</v>
      </c>
      <c r="E666" s="88" t="b">
        <v>0</v>
      </c>
      <c r="F666" s="88" t="b">
        <v>0</v>
      </c>
      <c r="G666" s="88" t="b">
        <v>0</v>
      </c>
    </row>
    <row r="667" spans="1:7" ht="15">
      <c r="A667" s="83" t="s">
        <v>2027</v>
      </c>
      <c r="B667" s="88">
        <v>6</v>
      </c>
      <c r="C667" s="110">
        <v>0</v>
      </c>
      <c r="D667" s="88" t="s">
        <v>1786</v>
      </c>
      <c r="E667" s="88" t="b">
        <v>0</v>
      </c>
      <c r="F667" s="88" t="b">
        <v>0</v>
      </c>
      <c r="G667" s="88" t="b">
        <v>0</v>
      </c>
    </row>
    <row r="668" spans="1:7" ht="15">
      <c r="A668" s="83" t="s">
        <v>2028</v>
      </c>
      <c r="B668" s="88">
        <v>6</v>
      </c>
      <c r="C668" s="110">
        <v>0</v>
      </c>
      <c r="D668" s="88" t="s">
        <v>1786</v>
      </c>
      <c r="E668" s="88" t="b">
        <v>0</v>
      </c>
      <c r="F668" s="88" t="b">
        <v>0</v>
      </c>
      <c r="G668" s="88" t="b">
        <v>0</v>
      </c>
    </row>
    <row r="669" spans="1:7" ht="15">
      <c r="A669" s="83" t="s">
        <v>2029</v>
      </c>
      <c r="B669" s="88">
        <v>5</v>
      </c>
      <c r="C669" s="110">
        <v>0.002976738573218978</v>
      </c>
      <c r="D669" s="88" t="s">
        <v>1786</v>
      </c>
      <c r="E669" s="88" t="b">
        <v>0</v>
      </c>
      <c r="F669" s="88" t="b">
        <v>0</v>
      </c>
      <c r="G669" s="88" t="b">
        <v>0</v>
      </c>
    </row>
    <row r="670" spans="1:7" ht="15">
      <c r="A670" s="83" t="s">
        <v>2030</v>
      </c>
      <c r="B670" s="88">
        <v>5</v>
      </c>
      <c r="C670" s="110">
        <v>0.002976738573218978</v>
      </c>
      <c r="D670" s="88" t="s">
        <v>1786</v>
      </c>
      <c r="E670" s="88" t="b">
        <v>0</v>
      </c>
      <c r="F670" s="88" t="b">
        <v>0</v>
      </c>
      <c r="G670" s="88" t="b">
        <v>0</v>
      </c>
    </row>
    <row r="671" spans="1:7" ht="15">
      <c r="A671" s="83" t="s">
        <v>2031</v>
      </c>
      <c r="B671" s="88">
        <v>5</v>
      </c>
      <c r="C671" s="110">
        <v>0.002976738573218978</v>
      </c>
      <c r="D671" s="88" t="s">
        <v>1786</v>
      </c>
      <c r="E671" s="88" t="b">
        <v>0</v>
      </c>
      <c r="F671" s="88" t="b">
        <v>0</v>
      </c>
      <c r="G671" s="88" t="b">
        <v>0</v>
      </c>
    </row>
    <row r="672" spans="1:7" ht="15">
      <c r="A672" s="83" t="s">
        <v>2032</v>
      </c>
      <c r="B672" s="88">
        <v>5</v>
      </c>
      <c r="C672" s="110">
        <v>0.002976738573218978</v>
      </c>
      <c r="D672" s="88" t="s">
        <v>1786</v>
      </c>
      <c r="E672" s="88" t="b">
        <v>0</v>
      </c>
      <c r="F672" s="88" t="b">
        <v>0</v>
      </c>
      <c r="G672" s="88" t="b">
        <v>0</v>
      </c>
    </row>
    <row r="673" spans="1:7" ht="15">
      <c r="A673" s="83" t="s">
        <v>2458</v>
      </c>
      <c r="B673" s="88">
        <v>5</v>
      </c>
      <c r="C673" s="110">
        <v>0.002976738573218978</v>
      </c>
      <c r="D673" s="88" t="s">
        <v>1786</v>
      </c>
      <c r="E673" s="88" t="b">
        <v>0</v>
      </c>
      <c r="F673" s="88" t="b">
        <v>0</v>
      </c>
      <c r="G673" s="88" t="b">
        <v>0</v>
      </c>
    </row>
    <row r="674" spans="1:7" ht="15">
      <c r="A674" s="83" t="s">
        <v>2459</v>
      </c>
      <c r="B674" s="88">
        <v>5</v>
      </c>
      <c r="C674" s="110">
        <v>0.002976738573218978</v>
      </c>
      <c r="D674" s="88" t="s">
        <v>1786</v>
      </c>
      <c r="E674" s="88" t="b">
        <v>0</v>
      </c>
      <c r="F674" s="88" t="b">
        <v>0</v>
      </c>
      <c r="G674" s="88" t="b">
        <v>0</v>
      </c>
    </row>
    <row r="675" spans="1:7" ht="15">
      <c r="A675" s="83" t="s">
        <v>1944</v>
      </c>
      <c r="B675" s="88">
        <v>5</v>
      </c>
      <c r="C675" s="110">
        <v>0.002976738573218978</v>
      </c>
      <c r="D675" s="88" t="s">
        <v>1786</v>
      </c>
      <c r="E675" s="88" t="b">
        <v>0</v>
      </c>
      <c r="F675" s="88" t="b">
        <v>0</v>
      </c>
      <c r="G675" s="88" t="b">
        <v>0</v>
      </c>
    </row>
    <row r="676" spans="1:7" ht="15">
      <c r="A676" s="83" t="s">
        <v>2460</v>
      </c>
      <c r="B676" s="88">
        <v>5</v>
      </c>
      <c r="C676" s="110">
        <v>0.002976738573218978</v>
      </c>
      <c r="D676" s="88" t="s">
        <v>1786</v>
      </c>
      <c r="E676" s="88" t="b">
        <v>0</v>
      </c>
      <c r="F676" s="88" t="b">
        <v>0</v>
      </c>
      <c r="G676" s="88" t="b">
        <v>0</v>
      </c>
    </row>
    <row r="677" spans="1:7" ht="15">
      <c r="A677" s="83" t="s">
        <v>365</v>
      </c>
      <c r="B677" s="88">
        <v>5</v>
      </c>
      <c r="C677" s="110">
        <v>0.002976738573218978</v>
      </c>
      <c r="D677" s="88" t="s">
        <v>1786</v>
      </c>
      <c r="E677" s="88" t="b">
        <v>0</v>
      </c>
      <c r="F677" s="88" t="b">
        <v>0</v>
      </c>
      <c r="G677" s="88" t="b">
        <v>0</v>
      </c>
    </row>
    <row r="678" spans="1:7" ht="15">
      <c r="A678" s="83" t="s">
        <v>2461</v>
      </c>
      <c r="B678" s="88">
        <v>5</v>
      </c>
      <c r="C678" s="110">
        <v>0.002976738573218978</v>
      </c>
      <c r="D678" s="88" t="s">
        <v>1786</v>
      </c>
      <c r="E678" s="88" t="b">
        <v>0</v>
      </c>
      <c r="F678" s="88" t="b">
        <v>0</v>
      </c>
      <c r="G678" s="88" t="b">
        <v>0</v>
      </c>
    </row>
    <row r="679" spans="1:7" ht="15">
      <c r="A679" s="83" t="s">
        <v>2462</v>
      </c>
      <c r="B679" s="88">
        <v>5</v>
      </c>
      <c r="C679" s="110">
        <v>0.002976738573218978</v>
      </c>
      <c r="D679" s="88" t="s">
        <v>1786</v>
      </c>
      <c r="E679" s="88" t="b">
        <v>0</v>
      </c>
      <c r="F679" s="88" t="b">
        <v>0</v>
      </c>
      <c r="G679" s="88" t="b">
        <v>0</v>
      </c>
    </row>
    <row r="680" spans="1:7" ht="15">
      <c r="A680" s="83" t="s">
        <v>2435</v>
      </c>
      <c r="B680" s="88">
        <v>5</v>
      </c>
      <c r="C680" s="110">
        <v>0.002976738573218978</v>
      </c>
      <c r="D680" s="88" t="s">
        <v>1786</v>
      </c>
      <c r="E680" s="88" t="b">
        <v>0</v>
      </c>
      <c r="F680" s="88" t="b">
        <v>0</v>
      </c>
      <c r="G680" s="88" t="b">
        <v>0</v>
      </c>
    </row>
    <row r="681" spans="1:7" ht="15">
      <c r="A681" s="83" t="s">
        <v>2463</v>
      </c>
      <c r="B681" s="88">
        <v>5</v>
      </c>
      <c r="C681" s="110">
        <v>0.002976738573218978</v>
      </c>
      <c r="D681" s="88" t="s">
        <v>1786</v>
      </c>
      <c r="E681" s="88" t="b">
        <v>0</v>
      </c>
      <c r="F681" s="88" t="b">
        <v>0</v>
      </c>
      <c r="G681" s="88" t="b">
        <v>0</v>
      </c>
    </row>
    <row r="682" spans="1:7" ht="15">
      <c r="A682" s="83" t="s">
        <v>1968</v>
      </c>
      <c r="B682" s="88">
        <v>5</v>
      </c>
      <c r="C682" s="110">
        <v>0.002976738573218978</v>
      </c>
      <c r="D682" s="88" t="s">
        <v>1786</v>
      </c>
      <c r="E682" s="88" t="b">
        <v>0</v>
      </c>
      <c r="F682" s="88" t="b">
        <v>0</v>
      </c>
      <c r="G682" s="88" t="b">
        <v>0</v>
      </c>
    </row>
    <row r="683" spans="1:7" ht="15">
      <c r="A683" s="83" t="s">
        <v>1969</v>
      </c>
      <c r="B683" s="88">
        <v>5</v>
      </c>
      <c r="C683" s="110">
        <v>0.002976738573218978</v>
      </c>
      <c r="D683" s="88" t="s">
        <v>1786</v>
      </c>
      <c r="E683" s="88" t="b">
        <v>0</v>
      </c>
      <c r="F683" s="88" t="b">
        <v>0</v>
      </c>
      <c r="G683" s="88" t="b">
        <v>0</v>
      </c>
    </row>
    <row r="684" spans="1:7" ht="15">
      <c r="A684" s="83" t="s">
        <v>1984</v>
      </c>
      <c r="B684" s="88">
        <v>3</v>
      </c>
      <c r="C684" s="110">
        <v>0</v>
      </c>
      <c r="D684" s="88" t="s">
        <v>1787</v>
      </c>
      <c r="E684" s="88" t="b">
        <v>0</v>
      </c>
      <c r="F684" s="88" t="b">
        <v>0</v>
      </c>
      <c r="G684" s="88" t="b">
        <v>0</v>
      </c>
    </row>
    <row r="685" spans="1:7" ht="15">
      <c r="A685" s="83" t="s">
        <v>2445</v>
      </c>
      <c r="B685" s="88">
        <v>4</v>
      </c>
      <c r="C685" s="110">
        <v>0</v>
      </c>
      <c r="D685" s="88" t="s">
        <v>1788</v>
      </c>
      <c r="E685" s="88" t="b">
        <v>0</v>
      </c>
      <c r="F685" s="88" t="b">
        <v>0</v>
      </c>
      <c r="G685" s="88" t="b">
        <v>0</v>
      </c>
    </row>
    <row r="686" spans="1:7" ht="15">
      <c r="A686" s="83" t="s">
        <v>2465</v>
      </c>
      <c r="B686" s="88">
        <v>4</v>
      </c>
      <c r="C686" s="110">
        <v>0</v>
      </c>
      <c r="D686" s="88" t="s">
        <v>1788</v>
      </c>
      <c r="E686" s="88" t="b">
        <v>0</v>
      </c>
      <c r="F686" s="88" t="b">
        <v>0</v>
      </c>
      <c r="G686" s="88" t="b">
        <v>0</v>
      </c>
    </row>
    <row r="687" spans="1:7" ht="15">
      <c r="A687" s="83" t="s">
        <v>2494</v>
      </c>
      <c r="B687" s="88">
        <v>4</v>
      </c>
      <c r="C687" s="110">
        <v>0</v>
      </c>
      <c r="D687" s="88" t="s">
        <v>1788</v>
      </c>
      <c r="E687" s="88" t="b">
        <v>0</v>
      </c>
      <c r="F687" s="88" t="b">
        <v>0</v>
      </c>
      <c r="G687" s="88" t="b">
        <v>0</v>
      </c>
    </row>
    <row r="688" spans="1:7" ht="15">
      <c r="A688" s="83" t="s">
        <v>2466</v>
      </c>
      <c r="B688" s="88">
        <v>4</v>
      </c>
      <c r="C688" s="110">
        <v>0</v>
      </c>
      <c r="D688" s="88" t="s">
        <v>1788</v>
      </c>
      <c r="E688" s="88" t="b">
        <v>0</v>
      </c>
      <c r="F688" s="88" t="b">
        <v>0</v>
      </c>
      <c r="G688" s="88" t="b">
        <v>0</v>
      </c>
    </row>
    <row r="689" spans="1:7" ht="15">
      <c r="A689" s="83" t="s">
        <v>2437</v>
      </c>
      <c r="B689" s="88">
        <v>4</v>
      </c>
      <c r="C689" s="110">
        <v>0</v>
      </c>
      <c r="D689" s="88" t="s">
        <v>1788</v>
      </c>
      <c r="E689" s="88" t="b">
        <v>0</v>
      </c>
      <c r="F689" s="88" t="b">
        <v>0</v>
      </c>
      <c r="G689" s="88" t="b">
        <v>0</v>
      </c>
    </row>
    <row r="690" spans="1:7" ht="15">
      <c r="A690" s="83" t="s">
        <v>2443</v>
      </c>
      <c r="B690" s="88">
        <v>4</v>
      </c>
      <c r="C690" s="110">
        <v>0</v>
      </c>
      <c r="D690" s="88" t="s">
        <v>1788</v>
      </c>
      <c r="E690" s="88" t="b">
        <v>0</v>
      </c>
      <c r="F690" s="88" t="b">
        <v>0</v>
      </c>
      <c r="G690" s="88" t="b">
        <v>0</v>
      </c>
    </row>
    <row r="691" spans="1:7" ht="15">
      <c r="A691" s="83" t="s">
        <v>1944</v>
      </c>
      <c r="B691" s="88">
        <v>4</v>
      </c>
      <c r="C691" s="110">
        <v>0</v>
      </c>
      <c r="D691" s="88" t="s">
        <v>1788</v>
      </c>
      <c r="E691" s="88" t="b">
        <v>0</v>
      </c>
      <c r="F691" s="88" t="b">
        <v>0</v>
      </c>
      <c r="G691" s="88" t="b">
        <v>0</v>
      </c>
    </row>
    <row r="692" spans="1:7" ht="15">
      <c r="A692" s="83" t="s">
        <v>2426</v>
      </c>
      <c r="B692" s="88">
        <v>4</v>
      </c>
      <c r="C692" s="110">
        <v>0</v>
      </c>
      <c r="D692" s="88" t="s">
        <v>1788</v>
      </c>
      <c r="E692" s="88" t="b">
        <v>0</v>
      </c>
      <c r="F692" s="88" t="b">
        <v>0</v>
      </c>
      <c r="G692" s="88" t="b">
        <v>0</v>
      </c>
    </row>
    <row r="693" spans="1:7" ht="15">
      <c r="A693" s="83" t="s">
        <v>2438</v>
      </c>
      <c r="B693" s="88">
        <v>4</v>
      </c>
      <c r="C693" s="110">
        <v>0</v>
      </c>
      <c r="D693" s="88" t="s">
        <v>1788</v>
      </c>
      <c r="E693" s="88" t="b">
        <v>0</v>
      </c>
      <c r="F693" s="88" t="b">
        <v>0</v>
      </c>
      <c r="G693" s="88" t="b">
        <v>0</v>
      </c>
    </row>
    <row r="694" spans="1:7" ht="15">
      <c r="A694" s="83" t="s">
        <v>1976</v>
      </c>
      <c r="B694" s="88">
        <v>3</v>
      </c>
      <c r="C694" s="110">
        <v>0</v>
      </c>
      <c r="D694" s="88" t="s">
        <v>1789</v>
      </c>
      <c r="E694" s="88" t="b">
        <v>0</v>
      </c>
      <c r="F694" s="88" t="b">
        <v>0</v>
      </c>
      <c r="G694" s="88" t="b">
        <v>0</v>
      </c>
    </row>
    <row r="695" spans="1:7" ht="15">
      <c r="A695" s="83" t="s">
        <v>1977</v>
      </c>
      <c r="B695" s="88">
        <v>3</v>
      </c>
      <c r="C695" s="110">
        <v>0</v>
      </c>
      <c r="D695" s="88" t="s">
        <v>1789</v>
      </c>
      <c r="E695" s="88" t="b">
        <v>0</v>
      </c>
      <c r="F695" s="88" t="b">
        <v>0</v>
      </c>
      <c r="G695" s="88" t="b">
        <v>0</v>
      </c>
    </row>
    <row r="696" spans="1:7" ht="15">
      <c r="A696" s="83" t="s">
        <v>1981</v>
      </c>
      <c r="B696" s="88">
        <v>3</v>
      </c>
      <c r="C696" s="110">
        <v>0</v>
      </c>
      <c r="D696" s="88" t="s">
        <v>1789</v>
      </c>
      <c r="E696" s="88" t="b">
        <v>0</v>
      </c>
      <c r="F696" s="88" t="b">
        <v>0</v>
      </c>
      <c r="G696" s="88" t="b">
        <v>0</v>
      </c>
    </row>
    <row r="697" spans="1:7" ht="15">
      <c r="A697" s="83" t="s">
        <v>1964</v>
      </c>
      <c r="B697" s="88">
        <v>3</v>
      </c>
      <c r="C697" s="110">
        <v>0</v>
      </c>
      <c r="D697" s="88" t="s">
        <v>1789</v>
      </c>
      <c r="E697" s="88" t="b">
        <v>0</v>
      </c>
      <c r="F697" s="88" t="b">
        <v>0</v>
      </c>
      <c r="G697" s="88" t="b">
        <v>0</v>
      </c>
    </row>
    <row r="698" spans="1:7" ht="15">
      <c r="A698" s="83" t="s">
        <v>1965</v>
      </c>
      <c r="B698" s="88">
        <v>3</v>
      </c>
      <c r="C698" s="110">
        <v>0</v>
      </c>
      <c r="D698" s="88" t="s">
        <v>1789</v>
      </c>
      <c r="E698" s="88" t="b">
        <v>0</v>
      </c>
      <c r="F698" s="88" t="b">
        <v>0</v>
      </c>
      <c r="G698" s="88" t="b">
        <v>0</v>
      </c>
    </row>
    <row r="699" spans="1:7" ht="15">
      <c r="A699" s="83" t="s">
        <v>1944</v>
      </c>
      <c r="B699" s="88">
        <v>3</v>
      </c>
      <c r="C699" s="110">
        <v>0</v>
      </c>
      <c r="D699" s="88" t="s">
        <v>1789</v>
      </c>
      <c r="E699" s="88" t="b">
        <v>0</v>
      </c>
      <c r="F699" s="88" t="b">
        <v>0</v>
      </c>
      <c r="G699" s="88" t="b">
        <v>0</v>
      </c>
    </row>
    <row r="700" spans="1:7" ht="15">
      <c r="A700" s="83" t="s">
        <v>1978</v>
      </c>
      <c r="B700" s="88">
        <v>3</v>
      </c>
      <c r="C700" s="110">
        <v>0</v>
      </c>
      <c r="D700" s="88" t="s">
        <v>1789</v>
      </c>
      <c r="E700" s="88" t="b">
        <v>0</v>
      </c>
      <c r="F700" s="88" t="b">
        <v>0</v>
      </c>
      <c r="G700" s="88" t="b">
        <v>0</v>
      </c>
    </row>
    <row r="701" spans="1:7" ht="15">
      <c r="A701" s="83" t="s">
        <v>1982</v>
      </c>
      <c r="B701" s="88">
        <v>3</v>
      </c>
      <c r="C701" s="110">
        <v>0</v>
      </c>
      <c r="D701" s="88" t="s">
        <v>1789</v>
      </c>
      <c r="E701" s="88" t="b">
        <v>0</v>
      </c>
      <c r="F701" s="88" t="b">
        <v>0</v>
      </c>
      <c r="G701" s="88" t="b">
        <v>0</v>
      </c>
    </row>
    <row r="702" spans="1:7" ht="15">
      <c r="A702" s="83" t="s">
        <v>1979</v>
      </c>
      <c r="B702" s="88">
        <v>3</v>
      </c>
      <c r="C702" s="110">
        <v>0</v>
      </c>
      <c r="D702" s="88" t="s">
        <v>1789</v>
      </c>
      <c r="E702" s="88" t="b">
        <v>0</v>
      </c>
      <c r="F702" s="88" t="b">
        <v>0</v>
      </c>
      <c r="G702" s="88" t="b">
        <v>0</v>
      </c>
    </row>
    <row r="703" spans="1:7" ht="15">
      <c r="A703" s="83" t="s">
        <v>1980</v>
      </c>
      <c r="B703" s="88">
        <v>3</v>
      </c>
      <c r="C703" s="110">
        <v>0</v>
      </c>
      <c r="D703" s="88" t="s">
        <v>1789</v>
      </c>
      <c r="E703" s="88" t="b">
        <v>0</v>
      </c>
      <c r="F703" s="88" t="b">
        <v>0</v>
      </c>
      <c r="G703" s="88" t="b">
        <v>0</v>
      </c>
    </row>
    <row r="704" spans="1:7" ht="15">
      <c r="A704" s="83" t="s">
        <v>1944</v>
      </c>
      <c r="B704" s="88">
        <v>11</v>
      </c>
      <c r="C704" s="110">
        <v>0</v>
      </c>
      <c r="D704" s="88" t="s">
        <v>1790</v>
      </c>
      <c r="E704" s="88" t="b">
        <v>0</v>
      </c>
      <c r="F704" s="88" t="b">
        <v>0</v>
      </c>
      <c r="G704" s="88" t="b">
        <v>0</v>
      </c>
    </row>
    <row r="705" spans="1:7" ht="15">
      <c r="A705" s="83" t="s">
        <v>1964</v>
      </c>
      <c r="B705" s="88">
        <v>8</v>
      </c>
      <c r="C705" s="110">
        <v>0</v>
      </c>
      <c r="D705" s="88" t="s">
        <v>1790</v>
      </c>
      <c r="E705" s="88" t="b">
        <v>0</v>
      </c>
      <c r="F705" s="88" t="b">
        <v>0</v>
      </c>
      <c r="G705" s="88" t="b">
        <v>0</v>
      </c>
    </row>
    <row r="706" spans="1:7" ht="15">
      <c r="A706" s="83" t="s">
        <v>1965</v>
      </c>
      <c r="B706" s="88">
        <v>8</v>
      </c>
      <c r="C706" s="110">
        <v>0</v>
      </c>
      <c r="D706" s="88" t="s">
        <v>1790</v>
      </c>
      <c r="E706" s="88" t="b">
        <v>0</v>
      </c>
      <c r="F706" s="88" t="b">
        <v>0</v>
      </c>
      <c r="G706" s="88" t="b">
        <v>0</v>
      </c>
    </row>
    <row r="707" spans="1:7" ht="15">
      <c r="A707" s="83" t="s">
        <v>2496</v>
      </c>
      <c r="B707" s="88">
        <v>4</v>
      </c>
      <c r="C707" s="110">
        <v>0.010847927771674998</v>
      </c>
      <c r="D707" s="88" t="s">
        <v>1790</v>
      </c>
      <c r="E707" s="88" t="b">
        <v>0</v>
      </c>
      <c r="F707" s="88" t="b">
        <v>0</v>
      </c>
      <c r="G707" s="88" t="b">
        <v>0</v>
      </c>
    </row>
    <row r="708" spans="1:7" ht="15">
      <c r="A708" s="83" t="s">
        <v>1978</v>
      </c>
      <c r="B708" s="88">
        <v>3</v>
      </c>
      <c r="C708" s="110">
        <v>0.011512668439791382</v>
      </c>
      <c r="D708" s="88" t="s">
        <v>1790</v>
      </c>
      <c r="E708" s="88" t="b">
        <v>0</v>
      </c>
      <c r="F708" s="88" t="b">
        <v>0</v>
      </c>
      <c r="G708" s="88" t="b">
        <v>0</v>
      </c>
    </row>
    <row r="709" spans="1:7" ht="15">
      <c r="A709" s="83" t="s">
        <v>2539</v>
      </c>
      <c r="B709" s="88">
        <v>3</v>
      </c>
      <c r="C709" s="110">
        <v>0.011512668439791382</v>
      </c>
      <c r="D709" s="88" t="s">
        <v>1790</v>
      </c>
      <c r="E709" s="88" t="b">
        <v>0</v>
      </c>
      <c r="F709" s="88" t="b">
        <v>0</v>
      </c>
      <c r="G709" s="88" t="b">
        <v>0</v>
      </c>
    </row>
    <row r="710" spans="1:7" ht="15">
      <c r="A710" s="83" t="s">
        <v>2540</v>
      </c>
      <c r="B710" s="88">
        <v>3</v>
      </c>
      <c r="C710" s="110">
        <v>0.011512668439791382</v>
      </c>
      <c r="D710" s="88" t="s">
        <v>1790</v>
      </c>
      <c r="E710" s="88" t="b">
        <v>0</v>
      </c>
      <c r="F710" s="88" t="b">
        <v>0</v>
      </c>
      <c r="G710" s="88" t="b">
        <v>0</v>
      </c>
    </row>
    <row r="711" spans="1:7" ht="15">
      <c r="A711" s="83" t="s">
        <v>1993</v>
      </c>
      <c r="B711" s="88">
        <v>3</v>
      </c>
      <c r="C711" s="110">
        <v>0.011512668439791382</v>
      </c>
      <c r="D711" s="88" t="s">
        <v>1790</v>
      </c>
      <c r="E711" s="88" t="b">
        <v>0</v>
      </c>
      <c r="F711" s="88" t="b">
        <v>0</v>
      </c>
      <c r="G711" s="88" t="b">
        <v>0</v>
      </c>
    </row>
    <row r="712" spans="1:7" ht="15">
      <c r="A712" s="83" t="s">
        <v>2541</v>
      </c>
      <c r="B712" s="88">
        <v>3</v>
      </c>
      <c r="C712" s="110">
        <v>0.011512668439791382</v>
      </c>
      <c r="D712" s="88" t="s">
        <v>1790</v>
      </c>
      <c r="E712" s="88" t="b">
        <v>0</v>
      </c>
      <c r="F712" s="88" t="b">
        <v>0</v>
      </c>
      <c r="G712" s="88" t="b">
        <v>0</v>
      </c>
    </row>
    <row r="713" spans="1:7" ht="15">
      <c r="A713" s="83" t="s">
        <v>2542</v>
      </c>
      <c r="B713" s="88">
        <v>3</v>
      </c>
      <c r="C713" s="110">
        <v>0.011512668439791382</v>
      </c>
      <c r="D713" s="88" t="s">
        <v>1790</v>
      </c>
      <c r="E713" s="88" t="b">
        <v>0</v>
      </c>
      <c r="F713" s="88" t="b">
        <v>0</v>
      </c>
      <c r="G713" s="88" t="b">
        <v>0</v>
      </c>
    </row>
    <row r="714" spans="1:7" ht="15">
      <c r="A714" s="83" t="s">
        <v>2433</v>
      </c>
      <c r="B714" s="88">
        <v>3</v>
      </c>
      <c r="C714" s="110">
        <v>0.024407837486268746</v>
      </c>
      <c r="D714" s="88" t="s">
        <v>1790</v>
      </c>
      <c r="E714" s="88" t="b">
        <v>0</v>
      </c>
      <c r="F714" s="88" t="b">
        <v>0</v>
      </c>
      <c r="G714" s="88" t="b">
        <v>0</v>
      </c>
    </row>
    <row r="715" spans="1:7" ht="15">
      <c r="A715" s="83" t="s">
        <v>2670</v>
      </c>
      <c r="B715" s="88">
        <v>2</v>
      </c>
      <c r="C715" s="110">
        <v>0.016271891657512496</v>
      </c>
      <c r="D715" s="88" t="s">
        <v>1790</v>
      </c>
      <c r="E715" s="88" t="b">
        <v>0</v>
      </c>
      <c r="F715" s="88" t="b">
        <v>0</v>
      </c>
      <c r="G715" s="88" t="b">
        <v>0</v>
      </c>
    </row>
    <row r="716" spans="1:7" ht="15">
      <c r="A716" s="83" t="s">
        <v>1967</v>
      </c>
      <c r="B716" s="88">
        <v>2</v>
      </c>
      <c r="C716" s="110">
        <v>0.010847927771674998</v>
      </c>
      <c r="D716" s="88" t="s">
        <v>1790</v>
      </c>
      <c r="E716" s="88" t="b">
        <v>0</v>
      </c>
      <c r="F716" s="88" t="b">
        <v>0</v>
      </c>
      <c r="G716" s="88" t="b">
        <v>0</v>
      </c>
    </row>
    <row r="717" spans="1:7" ht="15">
      <c r="A717" s="83" t="s">
        <v>2662</v>
      </c>
      <c r="B717" s="88">
        <v>2</v>
      </c>
      <c r="C717" s="110">
        <v>0.016271891657512496</v>
      </c>
      <c r="D717" s="88" t="s">
        <v>1790</v>
      </c>
      <c r="E717" s="88" t="b">
        <v>0</v>
      </c>
      <c r="F717" s="88" t="b">
        <v>0</v>
      </c>
      <c r="G717" s="88" t="b">
        <v>0</v>
      </c>
    </row>
    <row r="718" spans="1:7" ht="15">
      <c r="A718" s="83" t="s">
        <v>2549</v>
      </c>
      <c r="B718" s="88">
        <v>3</v>
      </c>
      <c r="C718" s="110">
        <v>0</v>
      </c>
      <c r="D718" s="88" t="s">
        <v>1791</v>
      </c>
      <c r="E718" s="88" t="b">
        <v>0</v>
      </c>
      <c r="F718" s="88" t="b">
        <v>1</v>
      </c>
      <c r="G718" s="88" t="b">
        <v>0</v>
      </c>
    </row>
    <row r="719" spans="1:7" ht="15">
      <c r="A719" s="83" t="s">
        <v>2550</v>
      </c>
      <c r="B719" s="88">
        <v>3</v>
      </c>
      <c r="C719" s="110">
        <v>0</v>
      </c>
      <c r="D719" s="88" t="s">
        <v>1791</v>
      </c>
      <c r="E719" s="88" t="b">
        <v>0</v>
      </c>
      <c r="F719" s="88" t="b">
        <v>0</v>
      </c>
      <c r="G719" s="88" t="b">
        <v>0</v>
      </c>
    </row>
    <row r="720" spans="1:7" ht="15">
      <c r="A720" s="83" t="s">
        <v>2551</v>
      </c>
      <c r="B720" s="88">
        <v>3</v>
      </c>
      <c r="C720" s="110">
        <v>0</v>
      </c>
      <c r="D720" s="88" t="s">
        <v>1791</v>
      </c>
      <c r="E720" s="88" t="b">
        <v>0</v>
      </c>
      <c r="F720" s="88" t="b">
        <v>0</v>
      </c>
      <c r="G720" s="88" t="b">
        <v>0</v>
      </c>
    </row>
    <row r="721" spans="1:7" ht="15">
      <c r="A721" s="83" t="s">
        <v>2552</v>
      </c>
      <c r="B721" s="88">
        <v>3</v>
      </c>
      <c r="C721" s="110">
        <v>0</v>
      </c>
      <c r="D721" s="88" t="s">
        <v>1791</v>
      </c>
      <c r="E721" s="88" t="b">
        <v>0</v>
      </c>
      <c r="F721" s="88" t="b">
        <v>0</v>
      </c>
      <c r="G721" s="88" t="b">
        <v>0</v>
      </c>
    </row>
    <row r="722" spans="1:7" ht="15">
      <c r="A722" s="83" t="s">
        <v>2553</v>
      </c>
      <c r="B722" s="88">
        <v>3</v>
      </c>
      <c r="C722" s="110">
        <v>0</v>
      </c>
      <c r="D722" s="88" t="s">
        <v>1791</v>
      </c>
      <c r="E722" s="88" t="b">
        <v>0</v>
      </c>
      <c r="F722" s="88" t="b">
        <v>0</v>
      </c>
      <c r="G722" s="88" t="b">
        <v>0</v>
      </c>
    </row>
    <row r="723" spans="1:7" ht="15">
      <c r="A723" s="83" t="s">
        <v>1964</v>
      </c>
      <c r="B723" s="88">
        <v>3</v>
      </c>
      <c r="C723" s="110">
        <v>0</v>
      </c>
      <c r="D723" s="88" t="s">
        <v>1791</v>
      </c>
      <c r="E723" s="88" t="b">
        <v>0</v>
      </c>
      <c r="F723" s="88" t="b">
        <v>0</v>
      </c>
      <c r="G723" s="88" t="b">
        <v>0</v>
      </c>
    </row>
    <row r="724" spans="1:7" ht="15">
      <c r="A724" s="83" t="s">
        <v>1965</v>
      </c>
      <c r="B724" s="88">
        <v>3</v>
      </c>
      <c r="C724" s="110">
        <v>0</v>
      </c>
      <c r="D724" s="88" t="s">
        <v>1791</v>
      </c>
      <c r="E724" s="88" t="b">
        <v>0</v>
      </c>
      <c r="F724" s="88" t="b">
        <v>0</v>
      </c>
      <c r="G724" s="88" t="b">
        <v>0</v>
      </c>
    </row>
    <row r="725" spans="1:7" ht="15">
      <c r="A725" s="83" t="s">
        <v>2554</v>
      </c>
      <c r="B725" s="88">
        <v>3</v>
      </c>
      <c r="C725" s="110">
        <v>0</v>
      </c>
      <c r="D725" s="88" t="s">
        <v>1791</v>
      </c>
      <c r="E725" s="88" t="b">
        <v>0</v>
      </c>
      <c r="F725" s="88" t="b">
        <v>0</v>
      </c>
      <c r="G725" s="88" t="b">
        <v>0</v>
      </c>
    </row>
    <row r="726" spans="1:7" ht="15">
      <c r="A726" s="83" t="s">
        <v>2500</v>
      </c>
      <c r="B726" s="88">
        <v>3</v>
      </c>
      <c r="C726" s="110">
        <v>0</v>
      </c>
      <c r="D726" s="88" t="s">
        <v>1791</v>
      </c>
      <c r="E726" s="88" t="b">
        <v>0</v>
      </c>
      <c r="F726" s="88" t="b">
        <v>0</v>
      </c>
      <c r="G726" s="88" t="b">
        <v>0</v>
      </c>
    </row>
    <row r="727" spans="1:7" ht="15">
      <c r="A727" s="83" t="s">
        <v>2555</v>
      </c>
      <c r="B727" s="88">
        <v>3</v>
      </c>
      <c r="C727" s="110">
        <v>0</v>
      </c>
      <c r="D727" s="88" t="s">
        <v>1791</v>
      </c>
      <c r="E727" s="88" t="b">
        <v>0</v>
      </c>
      <c r="F727" s="88" t="b">
        <v>0</v>
      </c>
      <c r="G727" s="88" t="b">
        <v>0</v>
      </c>
    </row>
    <row r="728" spans="1:7" ht="15">
      <c r="A728" s="83" t="s">
        <v>2556</v>
      </c>
      <c r="B728" s="88">
        <v>3</v>
      </c>
      <c r="C728" s="110">
        <v>0</v>
      </c>
      <c r="D728" s="88" t="s">
        <v>1791</v>
      </c>
      <c r="E728" s="88" t="b">
        <v>0</v>
      </c>
      <c r="F728" s="88" t="b">
        <v>1</v>
      </c>
      <c r="G728" s="88" t="b">
        <v>0</v>
      </c>
    </row>
    <row r="729" spans="1:7" ht="15">
      <c r="A729" s="83" t="s">
        <v>2557</v>
      </c>
      <c r="B729" s="88">
        <v>3</v>
      </c>
      <c r="C729" s="110">
        <v>0</v>
      </c>
      <c r="D729" s="88" t="s">
        <v>1791</v>
      </c>
      <c r="E729" s="88" t="b">
        <v>0</v>
      </c>
      <c r="F729" s="88" t="b">
        <v>0</v>
      </c>
      <c r="G729" s="88" t="b">
        <v>0</v>
      </c>
    </row>
    <row r="730" spans="1:7" ht="15">
      <c r="A730" s="83" t="s">
        <v>2501</v>
      </c>
      <c r="B730" s="88">
        <v>3</v>
      </c>
      <c r="C730" s="110">
        <v>0</v>
      </c>
      <c r="D730" s="88" t="s">
        <v>1791</v>
      </c>
      <c r="E730" s="88" t="b">
        <v>0</v>
      </c>
      <c r="F730" s="88" t="b">
        <v>0</v>
      </c>
      <c r="G730" s="88" t="b">
        <v>0</v>
      </c>
    </row>
    <row r="731" spans="1:7" ht="15">
      <c r="A731" s="83" t="s">
        <v>2558</v>
      </c>
      <c r="B731" s="88">
        <v>3</v>
      </c>
      <c r="C731" s="110">
        <v>0</v>
      </c>
      <c r="D731" s="88" t="s">
        <v>1791</v>
      </c>
      <c r="E731" s="88" t="b">
        <v>0</v>
      </c>
      <c r="F731" s="88" t="b">
        <v>0</v>
      </c>
      <c r="G731" s="88" t="b">
        <v>0</v>
      </c>
    </row>
    <row r="732" spans="1:7" ht="15">
      <c r="A732" s="83" t="s">
        <v>2559</v>
      </c>
      <c r="B732" s="88">
        <v>3</v>
      </c>
      <c r="C732" s="110">
        <v>0</v>
      </c>
      <c r="D732" s="88" t="s">
        <v>1791</v>
      </c>
      <c r="E732" s="88" t="b">
        <v>0</v>
      </c>
      <c r="F732" s="88" t="b">
        <v>0</v>
      </c>
      <c r="G732" s="88" t="b">
        <v>0</v>
      </c>
    </row>
    <row r="733" spans="1:7" ht="15">
      <c r="A733" s="83" t="s">
        <v>2560</v>
      </c>
      <c r="B733" s="88">
        <v>3</v>
      </c>
      <c r="C733" s="110">
        <v>0</v>
      </c>
      <c r="D733" s="88" t="s">
        <v>1791</v>
      </c>
      <c r="E733" s="88" t="b">
        <v>0</v>
      </c>
      <c r="F733" s="88" t="b">
        <v>0</v>
      </c>
      <c r="G733" s="88" t="b">
        <v>0</v>
      </c>
    </row>
    <row r="734" spans="1:7" ht="15">
      <c r="A734" s="83" t="s">
        <v>2561</v>
      </c>
      <c r="B734" s="88">
        <v>3</v>
      </c>
      <c r="C734" s="110">
        <v>0</v>
      </c>
      <c r="D734" s="88" t="s">
        <v>1791</v>
      </c>
      <c r="E734" s="88" t="b">
        <v>1</v>
      </c>
      <c r="F734" s="88" t="b">
        <v>0</v>
      </c>
      <c r="G734" s="88" t="b">
        <v>0</v>
      </c>
    </row>
    <row r="735" spans="1:7" ht="15">
      <c r="A735" s="83" t="s">
        <v>2469</v>
      </c>
      <c r="B735" s="88">
        <v>3</v>
      </c>
      <c r="C735" s="110">
        <v>0</v>
      </c>
      <c r="D735" s="88" t="s">
        <v>1791</v>
      </c>
      <c r="E735" s="88" t="b">
        <v>0</v>
      </c>
      <c r="F735" s="88" t="b">
        <v>0</v>
      </c>
      <c r="G735" s="88" t="b">
        <v>0</v>
      </c>
    </row>
    <row r="736" spans="1:7" ht="15">
      <c r="A736" s="83" t="s">
        <v>2562</v>
      </c>
      <c r="B736" s="88">
        <v>3</v>
      </c>
      <c r="C736" s="110">
        <v>0</v>
      </c>
      <c r="D736" s="88" t="s">
        <v>1791</v>
      </c>
      <c r="E736" s="88" t="b">
        <v>0</v>
      </c>
      <c r="F736" s="88" t="b">
        <v>0</v>
      </c>
      <c r="G736" s="88" t="b">
        <v>0</v>
      </c>
    </row>
    <row r="737" spans="1:7" ht="15">
      <c r="A737" s="83" t="s">
        <v>1944</v>
      </c>
      <c r="B737" s="88">
        <v>3</v>
      </c>
      <c r="C737" s="110">
        <v>0</v>
      </c>
      <c r="D737" s="88" t="s">
        <v>1791</v>
      </c>
      <c r="E737" s="88" t="b">
        <v>0</v>
      </c>
      <c r="F737" s="88" t="b">
        <v>0</v>
      </c>
      <c r="G737" s="88" t="b">
        <v>0</v>
      </c>
    </row>
    <row r="738" spans="1:7" ht="15">
      <c r="A738" s="83" t="s">
        <v>1944</v>
      </c>
      <c r="B738" s="88">
        <v>10</v>
      </c>
      <c r="C738" s="110">
        <v>0</v>
      </c>
      <c r="D738" s="88" t="s">
        <v>1792</v>
      </c>
      <c r="E738" s="88" t="b">
        <v>0</v>
      </c>
      <c r="F738" s="88" t="b">
        <v>0</v>
      </c>
      <c r="G738" s="88" t="b">
        <v>0</v>
      </c>
    </row>
    <row r="739" spans="1:7" ht="15">
      <c r="A739" s="83" t="s">
        <v>1967</v>
      </c>
      <c r="B739" s="88">
        <v>4</v>
      </c>
      <c r="C739" s="110">
        <v>0</v>
      </c>
      <c r="D739" s="88" t="s">
        <v>1792</v>
      </c>
      <c r="E739" s="88" t="b">
        <v>0</v>
      </c>
      <c r="F739" s="88" t="b">
        <v>0</v>
      </c>
      <c r="G739" s="88" t="b">
        <v>0</v>
      </c>
    </row>
    <row r="740" spans="1:7" ht="15">
      <c r="A740" s="83" t="s">
        <v>1965</v>
      </c>
      <c r="B740" s="88">
        <v>4</v>
      </c>
      <c r="C740" s="110">
        <v>0</v>
      </c>
      <c r="D740" s="88" t="s">
        <v>1792</v>
      </c>
      <c r="E740" s="88" t="b">
        <v>0</v>
      </c>
      <c r="F740" s="88" t="b">
        <v>0</v>
      </c>
      <c r="G740" s="88" t="b">
        <v>0</v>
      </c>
    </row>
    <row r="741" spans="1:7" ht="15">
      <c r="A741" s="83" t="s">
        <v>2700</v>
      </c>
      <c r="B741" s="88">
        <v>2</v>
      </c>
      <c r="C741" s="110">
        <v>0</v>
      </c>
      <c r="D741" s="88" t="s">
        <v>1792</v>
      </c>
      <c r="E741" s="88" t="b">
        <v>0</v>
      </c>
      <c r="F741" s="88" t="b">
        <v>0</v>
      </c>
      <c r="G741" s="88" t="b">
        <v>0</v>
      </c>
    </row>
    <row r="742" spans="1:7" ht="15">
      <c r="A742" s="83" t="s">
        <v>2433</v>
      </c>
      <c r="B742" s="88">
        <v>2</v>
      </c>
      <c r="C742" s="110">
        <v>0</v>
      </c>
      <c r="D742" s="88" t="s">
        <v>1792</v>
      </c>
      <c r="E742" s="88" t="b">
        <v>0</v>
      </c>
      <c r="F742" s="88" t="b">
        <v>0</v>
      </c>
      <c r="G742" s="88" t="b">
        <v>0</v>
      </c>
    </row>
    <row r="743" spans="1:7" ht="15">
      <c r="A743" s="83" t="s">
        <v>2457</v>
      </c>
      <c r="B743" s="88">
        <v>2</v>
      </c>
      <c r="C743" s="110">
        <v>0</v>
      </c>
      <c r="D743" s="88" t="s">
        <v>1792</v>
      </c>
      <c r="E743" s="88" t="b">
        <v>0</v>
      </c>
      <c r="F743" s="88" t="b">
        <v>0</v>
      </c>
      <c r="G743" s="88" t="b">
        <v>0</v>
      </c>
    </row>
    <row r="744" spans="1:7" ht="15">
      <c r="A744" s="83" t="s">
        <v>367</v>
      </c>
      <c r="B744" s="88">
        <v>2</v>
      </c>
      <c r="C744" s="110">
        <v>0</v>
      </c>
      <c r="D744" s="88" t="s">
        <v>1792</v>
      </c>
      <c r="E744" s="88" t="b">
        <v>0</v>
      </c>
      <c r="F744" s="88" t="b">
        <v>0</v>
      </c>
      <c r="G744" s="88" t="b">
        <v>0</v>
      </c>
    </row>
    <row r="745" spans="1:7" ht="15">
      <c r="A745" s="83" t="s">
        <v>2701</v>
      </c>
      <c r="B745" s="88">
        <v>2</v>
      </c>
      <c r="C745" s="110">
        <v>0</v>
      </c>
      <c r="D745" s="88" t="s">
        <v>1792</v>
      </c>
      <c r="E745" s="88" t="b">
        <v>0</v>
      </c>
      <c r="F745" s="88" t="b">
        <v>0</v>
      </c>
      <c r="G745" s="88" t="b">
        <v>0</v>
      </c>
    </row>
    <row r="746" spans="1:7" ht="15">
      <c r="A746" s="83" t="s">
        <v>1964</v>
      </c>
      <c r="B746" s="88">
        <v>2</v>
      </c>
      <c r="C746" s="110">
        <v>0</v>
      </c>
      <c r="D746" s="88" t="s">
        <v>1792</v>
      </c>
      <c r="E746" s="88" t="b">
        <v>0</v>
      </c>
      <c r="F746" s="88" t="b">
        <v>0</v>
      </c>
      <c r="G746" s="88" t="b">
        <v>0</v>
      </c>
    </row>
    <row r="747" spans="1:7" ht="15">
      <c r="A747" s="83" t="s">
        <v>2434</v>
      </c>
      <c r="B747" s="88">
        <v>2</v>
      </c>
      <c r="C747" s="110">
        <v>0</v>
      </c>
      <c r="D747" s="88" t="s">
        <v>1792</v>
      </c>
      <c r="E747" s="88" t="b">
        <v>0</v>
      </c>
      <c r="F747" s="88" t="b">
        <v>0</v>
      </c>
      <c r="G747" s="88" t="b">
        <v>0</v>
      </c>
    </row>
    <row r="748" spans="1:7" ht="15">
      <c r="A748" s="83" t="s">
        <v>2493</v>
      </c>
      <c r="B748" s="88">
        <v>2</v>
      </c>
      <c r="C748" s="110">
        <v>0</v>
      </c>
      <c r="D748" s="88" t="s">
        <v>1792</v>
      </c>
      <c r="E748" s="88" t="b">
        <v>0</v>
      </c>
      <c r="F748" s="88" t="b">
        <v>0</v>
      </c>
      <c r="G748" s="88" t="b">
        <v>0</v>
      </c>
    </row>
    <row r="749" spans="1:7" ht="15">
      <c r="A749" s="83" t="s">
        <v>2702</v>
      </c>
      <c r="B749" s="88">
        <v>2</v>
      </c>
      <c r="C749" s="110">
        <v>0</v>
      </c>
      <c r="D749" s="88" t="s">
        <v>1792</v>
      </c>
      <c r="E749" s="88" t="b">
        <v>0</v>
      </c>
      <c r="F749" s="88" t="b">
        <v>0</v>
      </c>
      <c r="G749" s="88" t="b">
        <v>0</v>
      </c>
    </row>
    <row r="750" spans="1:7" ht="15">
      <c r="A750" s="83" t="s">
        <v>2703</v>
      </c>
      <c r="B750" s="88">
        <v>2</v>
      </c>
      <c r="C750" s="110">
        <v>0</v>
      </c>
      <c r="D750" s="88" t="s">
        <v>1792</v>
      </c>
      <c r="E750" s="88" t="b">
        <v>0</v>
      </c>
      <c r="F750" s="88" t="b">
        <v>0</v>
      </c>
      <c r="G750" s="88" t="b">
        <v>0</v>
      </c>
    </row>
    <row r="751" spans="1:7" ht="15">
      <c r="A751" s="83" t="s">
        <v>2497</v>
      </c>
      <c r="B751" s="88">
        <v>2</v>
      </c>
      <c r="C751" s="110">
        <v>0</v>
      </c>
      <c r="D751" s="88" t="s">
        <v>1792</v>
      </c>
      <c r="E751" s="88" t="b">
        <v>0</v>
      </c>
      <c r="F751" s="88" t="b">
        <v>0</v>
      </c>
      <c r="G751" s="88" t="b">
        <v>0</v>
      </c>
    </row>
    <row r="752" spans="1:7" ht="15">
      <c r="A752" s="83" t="s">
        <v>2471</v>
      </c>
      <c r="B752" s="88">
        <v>2</v>
      </c>
      <c r="C752" s="110">
        <v>0</v>
      </c>
      <c r="D752" s="88" t="s">
        <v>1792</v>
      </c>
      <c r="E752" s="88" t="b">
        <v>0</v>
      </c>
      <c r="F752" s="88" t="b">
        <v>0</v>
      </c>
      <c r="G752" s="88" t="b">
        <v>0</v>
      </c>
    </row>
    <row r="753" spans="1:7" ht="15">
      <c r="A753" s="83" t="s">
        <v>2546</v>
      </c>
      <c r="B753" s="88">
        <v>2</v>
      </c>
      <c r="C753" s="110">
        <v>0</v>
      </c>
      <c r="D753" s="88" t="s">
        <v>1792</v>
      </c>
      <c r="E753" s="88" t="b">
        <v>0</v>
      </c>
      <c r="F753" s="88" t="b">
        <v>0</v>
      </c>
      <c r="G753" s="88" t="b">
        <v>0</v>
      </c>
    </row>
    <row r="754" spans="1:7" ht="15">
      <c r="A754" s="83" t="s">
        <v>2704</v>
      </c>
      <c r="B754" s="88">
        <v>2</v>
      </c>
      <c r="C754" s="110">
        <v>0</v>
      </c>
      <c r="D754" s="88" t="s">
        <v>1792</v>
      </c>
      <c r="E754" s="88" t="b">
        <v>0</v>
      </c>
      <c r="F754" s="88" t="b">
        <v>0</v>
      </c>
      <c r="G754" s="88" t="b">
        <v>0</v>
      </c>
    </row>
    <row r="755" spans="1:7" ht="15">
      <c r="A755" s="83" t="s">
        <v>2705</v>
      </c>
      <c r="B755" s="88">
        <v>2</v>
      </c>
      <c r="C755" s="110">
        <v>0</v>
      </c>
      <c r="D755" s="88" t="s">
        <v>1792</v>
      </c>
      <c r="E755" s="88" t="b">
        <v>0</v>
      </c>
      <c r="F755" s="88" t="b">
        <v>0</v>
      </c>
      <c r="G755" s="88" t="b">
        <v>0</v>
      </c>
    </row>
    <row r="756" spans="1:7" ht="15">
      <c r="A756" s="83" t="s">
        <v>2706</v>
      </c>
      <c r="B756" s="88">
        <v>2</v>
      </c>
      <c r="C756" s="110">
        <v>0</v>
      </c>
      <c r="D756" s="88" t="s">
        <v>1792</v>
      </c>
      <c r="E756" s="88" t="b">
        <v>0</v>
      </c>
      <c r="F756" s="88" t="b">
        <v>0</v>
      </c>
      <c r="G756" s="88" t="b">
        <v>0</v>
      </c>
    </row>
    <row r="757" spans="1:7" ht="15">
      <c r="A757" s="83" t="s">
        <v>2707</v>
      </c>
      <c r="B757" s="88">
        <v>2</v>
      </c>
      <c r="C757" s="110">
        <v>0</v>
      </c>
      <c r="D757" s="88" t="s">
        <v>1792</v>
      </c>
      <c r="E757" s="88" t="b">
        <v>1</v>
      </c>
      <c r="F757" s="88" t="b">
        <v>0</v>
      </c>
      <c r="G757" s="88" t="b">
        <v>0</v>
      </c>
    </row>
    <row r="758" spans="1:7" ht="15">
      <c r="A758" s="83" t="s">
        <v>2708</v>
      </c>
      <c r="B758" s="88">
        <v>2</v>
      </c>
      <c r="C758" s="110">
        <v>0</v>
      </c>
      <c r="D758" s="88" t="s">
        <v>1792</v>
      </c>
      <c r="E758" s="88" t="b">
        <v>0</v>
      </c>
      <c r="F758" s="88" t="b">
        <v>0</v>
      </c>
      <c r="G758" s="88" t="b">
        <v>0</v>
      </c>
    </row>
    <row r="759" spans="1:7" ht="15">
      <c r="A759" s="83" t="s">
        <v>2548</v>
      </c>
      <c r="B759" s="88">
        <v>2</v>
      </c>
      <c r="C759" s="110">
        <v>0</v>
      </c>
      <c r="D759" s="88" t="s">
        <v>1792</v>
      </c>
      <c r="E759" s="88" t="b">
        <v>0</v>
      </c>
      <c r="F759" s="88" t="b">
        <v>0</v>
      </c>
      <c r="G759" s="88" t="b">
        <v>0</v>
      </c>
    </row>
    <row r="760" spans="1:7" ht="15">
      <c r="A760" s="83" t="s">
        <v>1971</v>
      </c>
      <c r="B760" s="88">
        <v>2</v>
      </c>
      <c r="C760" s="110">
        <v>0</v>
      </c>
      <c r="D760" s="88" t="s">
        <v>1792</v>
      </c>
      <c r="E760" s="88" t="b">
        <v>0</v>
      </c>
      <c r="F760" s="88" t="b">
        <v>0</v>
      </c>
      <c r="G760" s="88" t="b">
        <v>0</v>
      </c>
    </row>
    <row r="761" spans="1:7" ht="15">
      <c r="A761" s="83" t="s">
        <v>1968</v>
      </c>
      <c r="B761" s="88">
        <v>2</v>
      </c>
      <c r="C761" s="110">
        <v>0</v>
      </c>
      <c r="D761" s="88" t="s">
        <v>1792</v>
      </c>
      <c r="E761" s="88" t="b">
        <v>0</v>
      </c>
      <c r="F761" s="88" t="b">
        <v>0</v>
      </c>
      <c r="G761" s="88" t="b">
        <v>0</v>
      </c>
    </row>
    <row r="762" spans="1:7" ht="15">
      <c r="A762" s="83" t="s">
        <v>2048</v>
      </c>
      <c r="B762" s="88">
        <v>2</v>
      </c>
      <c r="C762" s="110">
        <v>0</v>
      </c>
      <c r="D762" s="88" t="s">
        <v>1793</v>
      </c>
      <c r="E762" s="88" t="b">
        <v>0</v>
      </c>
      <c r="F762" s="88" t="b">
        <v>0</v>
      </c>
      <c r="G762" s="88" t="b">
        <v>0</v>
      </c>
    </row>
    <row r="763" spans="1:7" ht="15">
      <c r="A763" s="83" t="s">
        <v>1964</v>
      </c>
      <c r="B763" s="88">
        <v>10</v>
      </c>
      <c r="C763" s="110">
        <v>0</v>
      </c>
      <c r="D763" s="88" t="s">
        <v>1794</v>
      </c>
      <c r="E763" s="88" t="b">
        <v>0</v>
      </c>
      <c r="F763" s="88" t="b">
        <v>0</v>
      </c>
      <c r="G763" s="88" t="b">
        <v>0</v>
      </c>
    </row>
    <row r="764" spans="1:7" ht="15">
      <c r="A764" s="83" t="s">
        <v>2434</v>
      </c>
      <c r="B764" s="88">
        <v>6</v>
      </c>
      <c r="C764" s="110">
        <v>0.01843040789779477</v>
      </c>
      <c r="D764" s="88" t="s">
        <v>1794</v>
      </c>
      <c r="E764" s="88" t="b">
        <v>0</v>
      </c>
      <c r="F764" s="88" t="b">
        <v>0</v>
      </c>
      <c r="G764" s="88" t="b">
        <v>0</v>
      </c>
    </row>
    <row r="765" spans="1:7" ht="15">
      <c r="A765" s="83" t="s">
        <v>1944</v>
      </c>
      <c r="B765" s="88">
        <v>6</v>
      </c>
      <c r="C765" s="110">
        <v>0</v>
      </c>
      <c r="D765" s="88" t="s">
        <v>1794</v>
      </c>
      <c r="E765" s="88" t="b">
        <v>0</v>
      </c>
      <c r="F765" s="88" t="b">
        <v>0</v>
      </c>
      <c r="G765" s="88" t="b">
        <v>0</v>
      </c>
    </row>
    <row r="766" spans="1:7" ht="15">
      <c r="A766" s="83" t="s">
        <v>1965</v>
      </c>
      <c r="B766" s="88">
        <v>4</v>
      </c>
      <c r="C766" s="110">
        <v>0</v>
      </c>
      <c r="D766" s="88" t="s">
        <v>1794</v>
      </c>
      <c r="E766" s="88" t="b">
        <v>0</v>
      </c>
      <c r="F766" s="88" t="b">
        <v>0</v>
      </c>
      <c r="G766" s="88" t="b">
        <v>0</v>
      </c>
    </row>
    <row r="767" spans="1:7" ht="15">
      <c r="A767" s="83" t="s">
        <v>2504</v>
      </c>
      <c r="B767" s="88">
        <v>2</v>
      </c>
      <c r="C767" s="110">
        <v>0.006143469299264922</v>
      </c>
      <c r="D767" s="88" t="s">
        <v>1794</v>
      </c>
      <c r="E767" s="88" t="b">
        <v>0</v>
      </c>
      <c r="F767" s="88" t="b">
        <v>0</v>
      </c>
      <c r="G767" s="88" t="b">
        <v>0</v>
      </c>
    </row>
    <row r="768" spans="1:7" ht="15">
      <c r="A768" s="83" t="s">
        <v>2620</v>
      </c>
      <c r="B768" s="88">
        <v>2</v>
      </c>
      <c r="C768" s="110">
        <v>0.006143469299264922</v>
      </c>
      <c r="D768" s="88" t="s">
        <v>1794</v>
      </c>
      <c r="E768" s="88" t="b">
        <v>1</v>
      </c>
      <c r="F768" s="88" t="b">
        <v>0</v>
      </c>
      <c r="G768" s="88" t="b">
        <v>0</v>
      </c>
    </row>
    <row r="769" spans="1:7" ht="15">
      <c r="A769" s="83" t="s">
        <v>2621</v>
      </c>
      <c r="B769" s="88">
        <v>2</v>
      </c>
      <c r="C769" s="110">
        <v>0.006143469299264922</v>
      </c>
      <c r="D769" s="88" t="s">
        <v>1794</v>
      </c>
      <c r="E769" s="88" t="b">
        <v>0</v>
      </c>
      <c r="F769" s="88" t="b">
        <v>0</v>
      </c>
      <c r="G769" s="88" t="b">
        <v>0</v>
      </c>
    </row>
    <row r="770" spans="1:7" ht="15">
      <c r="A770" s="83" t="s">
        <v>2622</v>
      </c>
      <c r="B770" s="88">
        <v>2</v>
      </c>
      <c r="C770" s="110">
        <v>0.006143469299264922</v>
      </c>
      <c r="D770" s="88" t="s">
        <v>1794</v>
      </c>
      <c r="E770" s="88" t="b">
        <v>0</v>
      </c>
      <c r="F770" s="88" t="b">
        <v>0</v>
      </c>
      <c r="G770" s="88" t="b">
        <v>0</v>
      </c>
    </row>
    <row r="771" spans="1:7" ht="15">
      <c r="A771" s="83" t="s">
        <v>2623</v>
      </c>
      <c r="B771" s="88">
        <v>2</v>
      </c>
      <c r="C771" s="110">
        <v>0.006143469299264922</v>
      </c>
      <c r="D771" s="88" t="s">
        <v>1794</v>
      </c>
      <c r="E771" s="88" t="b">
        <v>0</v>
      </c>
      <c r="F771" s="88" t="b">
        <v>0</v>
      </c>
      <c r="G771" s="88" t="b">
        <v>0</v>
      </c>
    </row>
    <row r="772" spans="1:7" ht="15">
      <c r="A772" s="83" t="s">
        <v>2470</v>
      </c>
      <c r="B772" s="88">
        <v>2</v>
      </c>
      <c r="C772" s="110">
        <v>0.006143469299264922</v>
      </c>
      <c r="D772" s="88" t="s">
        <v>1794</v>
      </c>
      <c r="E772" s="88" t="b">
        <v>0</v>
      </c>
      <c r="F772" s="88" t="b">
        <v>0</v>
      </c>
      <c r="G772" s="88" t="b">
        <v>0</v>
      </c>
    </row>
    <row r="773" spans="1:7" ht="15">
      <c r="A773" s="83" t="s">
        <v>2624</v>
      </c>
      <c r="B773" s="88">
        <v>2</v>
      </c>
      <c r="C773" s="110">
        <v>0.006143469299264922</v>
      </c>
      <c r="D773" s="88" t="s">
        <v>1794</v>
      </c>
      <c r="E773" s="88" t="b">
        <v>0</v>
      </c>
      <c r="F773" s="88" t="b">
        <v>0</v>
      </c>
      <c r="G773" s="88" t="b">
        <v>0</v>
      </c>
    </row>
    <row r="774" spans="1:7" ht="15">
      <c r="A774" s="83" t="s">
        <v>1966</v>
      </c>
      <c r="B774" s="88">
        <v>2</v>
      </c>
      <c r="C774" s="110">
        <v>0.006143469299264922</v>
      </c>
      <c r="D774" s="88" t="s">
        <v>1794</v>
      </c>
      <c r="E774" s="88" t="b">
        <v>0</v>
      </c>
      <c r="F774" s="88" t="b">
        <v>0</v>
      </c>
      <c r="G774" s="88" t="b">
        <v>0</v>
      </c>
    </row>
    <row r="775" spans="1:7" ht="15">
      <c r="A775" s="83" t="s">
        <v>2625</v>
      </c>
      <c r="B775" s="88">
        <v>2</v>
      </c>
      <c r="C775" s="110">
        <v>0.006143469299264922</v>
      </c>
      <c r="D775" s="88" t="s">
        <v>1794</v>
      </c>
      <c r="E775" s="88" t="b">
        <v>0</v>
      </c>
      <c r="F775" s="88" t="b">
        <v>0</v>
      </c>
      <c r="G775" s="88" t="b">
        <v>0</v>
      </c>
    </row>
    <row r="776" spans="1:7" ht="15">
      <c r="A776" s="83" t="s">
        <v>2626</v>
      </c>
      <c r="B776" s="88">
        <v>2</v>
      </c>
      <c r="C776" s="110">
        <v>0.006143469299264922</v>
      </c>
      <c r="D776" s="88" t="s">
        <v>1794</v>
      </c>
      <c r="E776" s="88" t="b">
        <v>0</v>
      </c>
      <c r="F776" s="88" t="b">
        <v>0</v>
      </c>
      <c r="G776" s="88" t="b">
        <v>0</v>
      </c>
    </row>
    <row r="777" spans="1:7" ht="15">
      <c r="A777" s="83" t="s">
        <v>2627</v>
      </c>
      <c r="B777" s="88">
        <v>2</v>
      </c>
      <c r="C777" s="110">
        <v>0.006143469299264922</v>
      </c>
      <c r="D777" s="88" t="s">
        <v>1794</v>
      </c>
      <c r="E777" s="88" t="b">
        <v>0</v>
      </c>
      <c r="F777" s="88" t="b">
        <v>0</v>
      </c>
      <c r="G777" s="88" t="b">
        <v>0</v>
      </c>
    </row>
    <row r="778" spans="1:7" ht="15">
      <c r="A778" s="83" t="s">
        <v>2503</v>
      </c>
      <c r="B778" s="88">
        <v>2</v>
      </c>
      <c r="C778" s="110">
        <v>0.006143469299264922</v>
      </c>
      <c r="D778" s="88" t="s">
        <v>1794</v>
      </c>
      <c r="E778" s="88" t="b">
        <v>0</v>
      </c>
      <c r="F778" s="88" t="b">
        <v>0</v>
      </c>
      <c r="G778" s="88" t="b">
        <v>0</v>
      </c>
    </row>
    <row r="779" spans="1:7" ht="15">
      <c r="A779" s="83" t="s">
        <v>2628</v>
      </c>
      <c r="B779" s="88">
        <v>2</v>
      </c>
      <c r="C779" s="110">
        <v>0.006143469299264922</v>
      </c>
      <c r="D779" s="88" t="s">
        <v>1794</v>
      </c>
      <c r="E779" s="88" t="b">
        <v>0</v>
      </c>
      <c r="F779" s="88" t="b">
        <v>0</v>
      </c>
      <c r="G779" s="88" t="b">
        <v>0</v>
      </c>
    </row>
    <row r="780" spans="1:7" ht="15">
      <c r="A780" s="83" t="s">
        <v>2629</v>
      </c>
      <c r="B780" s="88">
        <v>2</v>
      </c>
      <c r="C780" s="110">
        <v>0.006143469299264922</v>
      </c>
      <c r="D780" s="88" t="s">
        <v>1794</v>
      </c>
      <c r="E780" s="88" t="b">
        <v>0</v>
      </c>
      <c r="F780" s="88" t="b">
        <v>0</v>
      </c>
      <c r="G780" s="88" t="b">
        <v>0</v>
      </c>
    </row>
    <row r="781" spans="1:7" ht="15">
      <c r="A781" s="83" t="s">
        <v>2630</v>
      </c>
      <c r="B781" s="88">
        <v>2</v>
      </c>
      <c r="C781" s="110">
        <v>0.006143469299264922</v>
      </c>
      <c r="D781" s="88" t="s">
        <v>1794</v>
      </c>
      <c r="E781" s="88" t="b">
        <v>0</v>
      </c>
      <c r="F781" s="88" t="b">
        <v>0</v>
      </c>
      <c r="G781" s="88" t="b">
        <v>0</v>
      </c>
    </row>
    <row r="782" spans="1:7" ht="15">
      <c r="A782" s="83" t="s">
        <v>2631</v>
      </c>
      <c r="B782" s="88">
        <v>2</v>
      </c>
      <c r="C782" s="110">
        <v>0.006143469299264922</v>
      </c>
      <c r="D782" s="88" t="s">
        <v>1794</v>
      </c>
      <c r="E782" s="88" t="b">
        <v>0</v>
      </c>
      <c r="F782" s="88" t="b">
        <v>0</v>
      </c>
      <c r="G782" s="88" t="b">
        <v>0</v>
      </c>
    </row>
    <row r="783" spans="1:7" ht="15">
      <c r="A783" s="83" t="s">
        <v>2003</v>
      </c>
      <c r="B783" s="88">
        <v>2</v>
      </c>
      <c r="C783" s="110">
        <v>0.006143469299264922</v>
      </c>
      <c r="D783" s="88" t="s">
        <v>1794</v>
      </c>
      <c r="E783" s="88" t="b">
        <v>0</v>
      </c>
      <c r="F783" s="88" t="b">
        <v>0</v>
      </c>
      <c r="G783" s="88" t="b">
        <v>0</v>
      </c>
    </row>
    <row r="784" spans="1:7" ht="15">
      <c r="A784" s="83" t="s">
        <v>2632</v>
      </c>
      <c r="B784" s="88">
        <v>2</v>
      </c>
      <c r="C784" s="110">
        <v>0.006143469299264922</v>
      </c>
      <c r="D784" s="88" t="s">
        <v>1794</v>
      </c>
      <c r="E784" s="88" t="b">
        <v>1</v>
      </c>
      <c r="F784" s="88" t="b">
        <v>0</v>
      </c>
      <c r="G784" s="88" t="b">
        <v>0</v>
      </c>
    </row>
    <row r="785" spans="1:7" ht="15">
      <c r="A785" s="83" t="s">
        <v>2633</v>
      </c>
      <c r="B785" s="88">
        <v>2</v>
      </c>
      <c r="C785" s="110">
        <v>0.006143469299264922</v>
      </c>
      <c r="D785" s="88" t="s">
        <v>1794</v>
      </c>
      <c r="E785" s="88" t="b">
        <v>0</v>
      </c>
      <c r="F785" s="88" t="b">
        <v>0</v>
      </c>
      <c r="G785" s="88" t="b">
        <v>0</v>
      </c>
    </row>
    <row r="786" spans="1:7" ht="15">
      <c r="A786" s="83" t="s">
        <v>1969</v>
      </c>
      <c r="B786" s="88">
        <v>2</v>
      </c>
      <c r="C786" s="110">
        <v>0.006143469299264922</v>
      </c>
      <c r="D786" s="88" t="s">
        <v>1794</v>
      </c>
      <c r="E786" s="88" t="b">
        <v>0</v>
      </c>
      <c r="F786" s="88" t="b">
        <v>0</v>
      </c>
      <c r="G786" s="88" t="b">
        <v>0</v>
      </c>
    </row>
    <row r="787" spans="1:7" ht="15">
      <c r="A787" s="83" t="s">
        <v>2634</v>
      </c>
      <c r="B787" s="88">
        <v>2</v>
      </c>
      <c r="C787" s="110">
        <v>0.006143469299264922</v>
      </c>
      <c r="D787" s="88" t="s">
        <v>1794</v>
      </c>
      <c r="E787" s="88" t="b">
        <v>0</v>
      </c>
      <c r="F787" s="88" t="b">
        <v>0</v>
      </c>
      <c r="G787" s="88" t="b">
        <v>0</v>
      </c>
    </row>
    <row r="788" spans="1:7" ht="15">
      <c r="A788" s="83" t="s">
        <v>2635</v>
      </c>
      <c r="B788" s="88">
        <v>2</v>
      </c>
      <c r="C788" s="110">
        <v>0.006143469299264922</v>
      </c>
      <c r="D788" s="88" t="s">
        <v>1794</v>
      </c>
      <c r="E788" s="88" t="b">
        <v>0</v>
      </c>
      <c r="F788" s="88" t="b">
        <v>0</v>
      </c>
      <c r="G788" s="88" t="b">
        <v>0</v>
      </c>
    </row>
    <row r="789" spans="1:7" ht="15">
      <c r="A789" s="83" t="s">
        <v>2636</v>
      </c>
      <c r="B789" s="88">
        <v>2</v>
      </c>
      <c r="C789" s="110">
        <v>0.006143469299264922</v>
      </c>
      <c r="D789" s="88" t="s">
        <v>1794</v>
      </c>
      <c r="E789" s="88" t="b">
        <v>0</v>
      </c>
      <c r="F789" s="88" t="b">
        <v>0</v>
      </c>
      <c r="G789" s="88" t="b">
        <v>0</v>
      </c>
    </row>
    <row r="790" spans="1:7" ht="15">
      <c r="A790" s="83" t="s">
        <v>2637</v>
      </c>
      <c r="B790" s="88">
        <v>2</v>
      </c>
      <c r="C790" s="110">
        <v>0.006143469299264922</v>
      </c>
      <c r="D790" s="88" t="s">
        <v>1794</v>
      </c>
      <c r="E790" s="88" t="b">
        <v>0</v>
      </c>
      <c r="F790" s="88" t="b">
        <v>0</v>
      </c>
      <c r="G790" s="88" t="b">
        <v>0</v>
      </c>
    </row>
    <row r="791" spans="1:7" ht="15">
      <c r="A791" s="83" t="s">
        <v>2638</v>
      </c>
      <c r="B791" s="88">
        <v>2</v>
      </c>
      <c r="C791" s="110">
        <v>0.006143469299264922</v>
      </c>
      <c r="D791" s="88" t="s">
        <v>1794</v>
      </c>
      <c r="E791" s="88" t="b">
        <v>0</v>
      </c>
      <c r="F791" s="88" t="b">
        <v>0</v>
      </c>
      <c r="G791" s="88" t="b">
        <v>0</v>
      </c>
    </row>
    <row r="792" spans="1:7" ht="15">
      <c r="A792" s="83" t="s">
        <v>2436</v>
      </c>
      <c r="B792" s="88">
        <v>2</v>
      </c>
      <c r="C792" s="110">
        <v>0.006143469299264922</v>
      </c>
      <c r="D792" s="88" t="s">
        <v>1794</v>
      </c>
      <c r="E792" s="88" t="b">
        <v>0</v>
      </c>
      <c r="F792" s="88" t="b">
        <v>0</v>
      </c>
      <c r="G792" s="88" t="b">
        <v>0</v>
      </c>
    </row>
    <row r="793" spans="1:7" ht="15">
      <c r="A793" s="83" t="s">
        <v>2639</v>
      </c>
      <c r="B793" s="88">
        <v>2</v>
      </c>
      <c r="C793" s="110">
        <v>0.006143469299264922</v>
      </c>
      <c r="D793" s="88" t="s">
        <v>1794</v>
      </c>
      <c r="E793" s="88" t="b">
        <v>0</v>
      </c>
      <c r="F793" s="88" t="b">
        <v>0</v>
      </c>
      <c r="G793" s="88" t="b">
        <v>0</v>
      </c>
    </row>
    <row r="794" spans="1:7" ht="15">
      <c r="A794" s="83" t="s">
        <v>2640</v>
      </c>
      <c r="B794" s="88">
        <v>2</v>
      </c>
      <c r="C794" s="110">
        <v>0.006143469299264922</v>
      </c>
      <c r="D794" s="88" t="s">
        <v>1794</v>
      </c>
      <c r="E794" s="88" t="b">
        <v>0</v>
      </c>
      <c r="F794" s="88" t="b">
        <v>0</v>
      </c>
      <c r="G794" s="88" t="b">
        <v>0</v>
      </c>
    </row>
    <row r="795" spans="1:7" ht="15">
      <c r="A795" s="83" t="s">
        <v>1979</v>
      </c>
      <c r="B795" s="88">
        <v>2</v>
      </c>
      <c r="C795" s="110">
        <v>0.006143469299264922</v>
      </c>
      <c r="D795" s="88" t="s">
        <v>1794</v>
      </c>
      <c r="E795" s="88" t="b">
        <v>0</v>
      </c>
      <c r="F795" s="88" t="b">
        <v>0</v>
      </c>
      <c r="G795" s="88" t="b">
        <v>0</v>
      </c>
    </row>
    <row r="796" spans="1:7" ht="15">
      <c r="A796" s="83" t="s">
        <v>1980</v>
      </c>
      <c r="B796" s="88">
        <v>2</v>
      </c>
      <c r="C796" s="110">
        <v>0.006143469299264922</v>
      </c>
      <c r="D796" s="88" t="s">
        <v>1794</v>
      </c>
      <c r="E796" s="88" t="b">
        <v>0</v>
      </c>
      <c r="F796" s="88" t="b">
        <v>0</v>
      </c>
      <c r="G796" s="88" t="b">
        <v>0</v>
      </c>
    </row>
    <row r="797" spans="1:7" ht="15">
      <c r="A797" s="83" t="s">
        <v>2641</v>
      </c>
      <c r="B797" s="88">
        <v>2</v>
      </c>
      <c r="C797" s="110">
        <v>0.006143469299264922</v>
      </c>
      <c r="D797" s="88" t="s">
        <v>1794</v>
      </c>
      <c r="E797" s="88" t="b">
        <v>0</v>
      </c>
      <c r="F797" s="88" t="b">
        <v>0</v>
      </c>
      <c r="G797" s="88" t="b">
        <v>0</v>
      </c>
    </row>
    <row r="798" spans="1:7" ht="15">
      <c r="A798" s="83" t="s">
        <v>2642</v>
      </c>
      <c r="B798" s="88">
        <v>2</v>
      </c>
      <c r="C798" s="110">
        <v>0.006143469299264922</v>
      </c>
      <c r="D798" s="88" t="s">
        <v>1794</v>
      </c>
      <c r="E798" s="88" t="b">
        <v>0</v>
      </c>
      <c r="F798" s="88" t="b">
        <v>0</v>
      </c>
      <c r="G798" s="88" t="b">
        <v>0</v>
      </c>
    </row>
    <row r="799" spans="1:7" ht="15">
      <c r="A799" s="83" t="s">
        <v>2643</v>
      </c>
      <c r="B799" s="88">
        <v>2</v>
      </c>
      <c r="C799" s="110">
        <v>0.006143469299264922</v>
      </c>
      <c r="D799" s="88" t="s">
        <v>1794</v>
      </c>
      <c r="E799" s="88" t="b">
        <v>0</v>
      </c>
      <c r="F799" s="88" t="b">
        <v>0</v>
      </c>
      <c r="G799" s="88" t="b">
        <v>0</v>
      </c>
    </row>
    <row r="800" spans="1:7" ht="15">
      <c r="A800" s="83" t="s">
        <v>2644</v>
      </c>
      <c r="B800" s="88">
        <v>2</v>
      </c>
      <c r="C800" s="110">
        <v>0.006143469299264922</v>
      </c>
      <c r="D800" s="88" t="s">
        <v>1794</v>
      </c>
      <c r="E800" s="88" t="b">
        <v>0</v>
      </c>
      <c r="F800" s="88" t="b">
        <v>0</v>
      </c>
      <c r="G800" s="88" t="b">
        <v>0</v>
      </c>
    </row>
    <row r="801" spans="1:7" ht="15">
      <c r="A801" s="83" t="s">
        <v>2645</v>
      </c>
      <c r="B801" s="88">
        <v>2</v>
      </c>
      <c r="C801" s="110">
        <v>0.006143469299264922</v>
      </c>
      <c r="D801" s="88" t="s">
        <v>1794</v>
      </c>
      <c r="E801" s="88" t="b">
        <v>0</v>
      </c>
      <c r="F801" s="88" t="b">
        <v>0</v>
      </c>
      <c r="G801" s="88" t="b">
        <v>0</v>
      </c>
    </row>
    <row r="802" spans="1:7" ht="15">
      <c r="A802" s="83" t="s">
        <v>2646</v>
      </c>
      <c r="B802" s="88">
        <v>2</v>
      </c>
      <c r="C802" s="110">
        <v>0.006143469299264922</v>
      </c>
      <c r="D802" s="88" t="s">
        <v>1794</v>
      </c>
      <c r="E802" s="88" t="b">
        <v>0</v>
      </c>
      <c r="F802" s="88" t="b">
        <v>0</v>
      </c>
      <c r="G802" s="88" t="b">
        <v>0</v>
      </c>
    </row>
    <row r="803" spans="1:7" ht="15">
      <c r="A803" s="83" t="s">
        <v>2050</v>
      </c>
      <c r="B803" s="88">
        <v>2</v>
      </c>
      <c r="C803" s="110">
        <v>0</v>
      </c>
      <c r="D803" s="88" t="s">
        <v>1795</v>
      </c>
      <c r="E803" s="88" t="b">
        <v>0</v>
      </c>
      <c r="F803" s="88" t="b">
        <v>0</v>
      </c>
      <c r="G803" s="88" t="b">
        <v>0</v>
      </c>
    </row>
    <row r="804" spans="1:7" ht="15">
      <c r="A804" s="83" t="s">
        <v>1964</v>
      </c>
      <c r="B804" s="88">
        <v>4</v>
      </c>
      <c r="C804" s="110">
        <v>0</v>
      </c>
      <c r="D804" s="88" t="s">
        <v>1796</v>
      </c>
      <c r="E804" s="88" t="b">
        <v>0</v>
      </c>
      <c r="F804" s="88" t="b">
        <v>0</v>
      </c>
      <c r="G804" s="88" t="b">
        <v>0</v>
      </c>
    </row>
    <row r="805" spans="1:7" ht="15">
      <c r="A805" s="83" t="s">
        <v>1965</v>
      </c>
      <c r="B805" s="88">
        <v>4</v>
      </c>
      <c r="C805" s="110">
        <v>0</v>
      </c>
      <c r="D805" s="88" t="s">
        <v>1796</v>
      </c>
      <c r="E805" s="88" t="b">
        <v>0</v>
      </c>
      <c r="F805" s="88" t="b">
        <v>0</v>
      </c>
      <c r="G805" s="88" t="b">
        <v>0</v>
      </c>
    </row>
    <row r="806" spans="1:7" ht="15">
      <c r="A806" s="83" t="s">
        <v>2651</v>
      </c>
      <c r="B806" s="88">
        <v>2</v>
      </c>
      <c r="C806" s="110">
        <v>0</v>
      </c>
      <c r="D806" s="88" t="s">
        <v>1796</v>
      </c>
      <c r="E806" s="88" t="b">
        <v>0</v>
      </c>
      <c r="F806" s="88" t="b">
        <v>0</v>
      </c>
      <c r="G806" s="88" t="b">
        <v>0</v>
      </c>
    </row>
    <row r="807" spans="1:7" ht="15">
      <c r="A807" s="83" t="s">
        <v>2537</v>
      </c>
      <c r="B807" s="88">
        <v>2</v>
      </c>
      <c r="C807" s="110">
        <v>0</v>
      </c>
      <c r="D807" s="88" t="s">
        <v>1796</v>
      </c>
      <c r="E807" s="88" t="b">
        <v>1</v>
      </c>
      <c r="F807" s="88" t="b">
        <v>0</v>
      </c>
      <c r="G807" s="88" t="b">
        <v>0</v>
      </c>
    </row>
    <row r="808" spans="1:7" ht="15">
      <c r="A808" s="83" t="s">
        <v>1944</v>
      </c>
      <c r="B808" s="88">
        <v>2</v>
      </c>
      <c r="C808" s="110">
        <v>0</v>
      </c>
      <c r="D808" s="88" t="s">
        <v>1796</v>
      </c>
      <c r="E808" s="88" t="b">
        <v>0</v>
      </c>
      <c r="F808" s="88" t="b">
        <v>0</v>
      </c>
      <c r="G808" s="88" t="b">
        <v>0</v>
      </c>
    </row>
    <row r="809" spans="1:7" ht="15">
      <c r="A809" s="83" t="s">
        <v>2652</v>
      </c>
      <c r="B809" s="88">
        <v>2</v>
      </c>
      <c r="C809" s="110">
        <v>0</v>
      </c>
      <c r="D809" s="88" t="s">
        <v>1796</v>
      </c>
      <c r="E809" s="88" t="b">
        <v>0</v>
      </c>
      <c r="F809" s="88" t="b">
        <v>0</v>
      </c>
      <c r="G809" s="88" t="b">
        <v>0</v>
      </c>
    </row>
    <row r="810" spans="1:7" ht="15">
      <c r="A810" s="83" t="s">
        <v>2653</v>
      </c>
      <c r="B810" s="88">
        <v>2</v>
      </c>
      <c r="C810" s="110">
        <v>0</v>
      </c>
      <c r="D810" s="88" t="s">
        <v>1796</v>
      </c>
      <c r="E810" s="88" t="b">
        <v>0</v>
      </c>
      <c r="F810" s="88" t="b">
        <v>0</v>
      </c>
      <c r="G810" s="88" t="b">
        <v>0</v>
      </c>
    </row>
    <row r="811" spans="1:7" ht="15">
      <c r="A811" s="83" t="s">
        <v>1997</v>
      </c>
      <c r="B811" s="88">
        <v>2</v>
      </c>
      <c r="C811" s="110">
        <v>0</v>
      </c>
      <c r="D811" s="88" t="s">
        <v>1796</v>
      </c>
      <c r="E811" s="88" t="b">
        <v>0</v>
      </c>
      <c r="F811" s="88" t="b">
        <v>0</v>
      </c>
      <c r="G811" s="88" t="b">
        <v>0</v>
      </c>
    </row>
    <row r="812" spans="1:7" ht="15">
      <c r="A812" s="83" t="s">
        <v>2495</v>
      </c>
      <c r="B812" s="88">
        <v>2</v>
      </c>
      <c r="C812" s="110">
        <v>0</v>
      </c>
      <c r="D812" s="88" t="s">
        <v>1796</v>
      </c>
      <c r="E812" s="88" t="b">
        <v>0</v>
      </c>
      <c r="F812" s="88" t="b">
        <v>0</v>
      </c>
      <c r="G812" s="88" t="b">
        <v>0</v>
      </c>
    </row>
    <row r="813" spans="1:7" ht="15">
      <c r="A813" s="83" t="s">
        <v>1967</v>
      </c>
      <c r="B813" s="88">
        <v>2</v>
      </c>
      <c r="C813" s="110">
        <v>0</v>
      </c>
      <c r="D813" s="88" t="s">
        <v>1796</v>
      </c>
      <c r="E813" s="88" t="b">
        <v>0</v>
      </c>
      <c r="F813" s="88" t="b">
        <v>0</v>
      </c>
      <c r="G813" s="88" t="b">
        <v>0</v>
      </c>
    </row>
    <row r="814" spans="1:7" ht="15">
      <c r="A814" s="83" t="s">
        <v>2507</v>
      </c>
      <c r="B814" s="88">
        <v>2</v>
      </c>
      <c r="C814" s="110">
        <v>0</v>
      </c>
      <c r="D814" s="88" t="s">
        <v>1796</v>
      </c>
      <c r="E814" s="88" t="b">
        <v>0</v>
      </c>
      <c r="F814" s="88" t="b">
        <v>0</v>
      </c>
      <c r="G814" s="88" t="b">
        <v>0</v>
      </c>
    </row>
    <row r="815" spans="1:7" ht="15">
      <c r="A815" s="83" t="s">
        <v>2654</v>
      </c>
      <c r="B815" s="88">
        <v>2</v>
      </c>
      <c r="C815" s="110">
        <v>0</v>
      </c>
      <c r="D815" s="88" t="s">
        <v>1796</v>
      </c>
      <c r="E815" s="88" t="b">
        <v>0</v>
      </c>
      <c r="F815" s="88" t="b">
        <v>0</v>
      </c>
      <c r="G815" s="88" t="b">
        <v>0</v>
      </c>
    </row>
    <row r="816" spans="1:7" ht="15">
      <c r="A816" s="83" t="s">
        <v>2538</v>
      </c>
      <c r="B816" s="88">
        <v>2</v>
      </c>
      <c r="C816" s="110">
        <v>0</v>
      </c>
      <c r="D816" s="88" t="s">
        <v>1796</v>
      </c>
      <c r="E816" s="88" t="b">
        <v>0</v>
      </c>
      <c r="F816" s="88" t="b">
        <v>0</v>
      </c>
      <c r="G816" s="88" t="b">
        <v>0</v>
      </c>
    </row>
    <row r="817" spans="1:7" ht="15">
      <c r="A817" s="83" t="s">
        <v>2655</v>
      </c>
      <c r="B817" s="88">
        <v>2</v>
      </c>
      <c r="C817" s="110">
        <v>0</v>
      </c>
      <c r="D817" s="88" t="s">
        <v>1796</v>
      </c>
      <c r="E817" s="88" t="b">
        <v>0</v>
      </c>
      <c r="F817" s="88" t="b">
        <v>0</v>
      </c>
      <c r="G817" s="88" t="b">
        <v>0</v>
      </c>
    </row>
    <row r="818" spans="1:7" ht="15">
      <c r="A818" s="83" t="s">
        <v>2656</v>
      </c>
      <c r="B818" s="88">
        <v>2</v>
      </c>
      <c r="C818" s="110">
        <v>0</v>
      </c>
      <c r="D818" s="88" t="s">
        <v>1796</v>
      </c>
      <c r="E818" s="88" t="b">
        <v>0</v>
      </c>
      <c r="F818" s="88" t="b">
        <v>0</v>
      </c>
      <c r="G818" s="88" t="b">
        <v>0</v>
      </c>
    </row>
    <row r="819" spans="1:7" ht="15">
      <c r="A819" s="83" t="s">
        <v>2052</v>
      </c>
      <c r="B819" s="88">
        <v>2</v>
      </c>
      <c r="C819" s="110">
        <v>0</v>
      </c>
      <c r="D819" s="88" t="s">
        <v>1797</v>
      </c>
      <c r="E819" s="88" t="b">
        <v>0</v>
      </c>
      <c r="F819" s="88" t="b">
        <v>0</v>
      </c>
      <c r="G819" s="88" t="b">
        <v>0</v>
      </c>
    </row>
    <row r="820" spans="1:7" ht="15">
      <c r="A820" s="83" t="s">
        <v>2492</v>
      </c>
      <c r="B820" s="88">
        <v>2</v>
      </c>
      <c r="C820" s="110">
        <v>0</v>
      </c>
      <c r="D820" s="88" t="s">
        <v>1798</v>
      </c>
      <c r="E820" s="88" t="b">
        <v>0</v>
      </c>
      <c r="F820" s="88" t="b">
        <v>0</v>
      </c>
      <c r="G820" s="88" t="b">
        <v>0</v>
      </c>
    </row>
    <row r="821" spans="1:7" ht="15">
      <c r="A821" s="83" t="s">
        <v>1964</v>
      </c>
      <c r="B821" s="88">
        <v>2</v>
      </c>
      <c r="C821" s="110">
        <v>0</v>
      </c>
      <c r="D821" s="88" t="s">
        <v>1798</v>
      </c>
      <c r="E821" s="88" t="b">
        <v>0</v>
      </c>
      <c r="F821" s="88" t="b">
        <v>0</v>
      </c>
      <c r="G821" s="88" t="b">
        <v>0</v>
      </c>
    </row>
    <row r="822" spans="1:7" ht="15">
      <c r="A822" s="83" t="s">
        <v>1965</v>
      </c>
      <c r="B822" s="88">
        <v>2</v>
      </c>
      <c r="C822" s="110">
        <v>0</v>
      </c>
      <c r="D822" s="88" t="s">
        <v>1798</v>
      </c>
      <c r="E822" s="88" t="b">
        <v>0</v>
      </c>
      <c r="F822" s="88" t="b">
        <v>0</v>
      </c>
      <c r="G822" s="88" t="b">
        <v>0</v>
      </c>
    </row>
    <row r="823" spans="1:7" ht="15">
      <c r="A823" s="83" t="s">
        <v>1944</v>
      </c>
      <c r="B823" s="88">
        <v>2</v>
      </c>
      <c r="C823" s="110">
        <v>0</v>
      </c>
      <c r="D823" s="88" t="s">
        <v>1798</v>
      </c>
      <c r="E823" s="88" t="b">
        <v>0</v>
      </c>
      <c r="F823" s="88" t="b">
        <v>0</v>
      </c>
      <c r="G823" s="88" t="b">
        <v>0</v>
      </c>
    </row>
    <row r="824" spans="1:7" ht="15">
      <c r="A824" s="83" t="s">
        <v>1944</v>
      </c>
      <c r="B824" s="88">
        <v>3</v>
      </c>
      <c r="C824" s="110">
        <v>0</v>
      </c>
      <c r="D824" s="88" t="s">
        <v>1799</v>
      </c>
      <c r="E824" s="88" t="b">
        <v>0</v>
      </c>
      <c r="F824" s="88" t="b">
        <v>0</v>
      </c>
      <c r="G824" s="88" t="b">
        <v>0</v>
      </c>
    </row>
    <row r="825" spans="1:7" ht="15">
      <c r="A825" s="83" t="s">
        <v>1965</v>
      </c>
      <c r="B825" s="88">
        <v>2</v>
      </c>
      <c r="C825" s="110">
        <v>0</v>
      </c>
      <c r="D825" s="88" t="s">
        <v>1799</v>
      </c>
      <c r="E825" s="88" t="b">
        <v>0</v>
      </c>
      <c r="F825" s="88" t="b">
        <v>0</v>
      </c>
      <c r="G825" s="88" t="b">
        <v>0</v>
      </c>
    </row>
    <row r="826" spans="1:7" ht="15">
      <c r="A826" s="83" t="s">
        <v>1944</v>
      </c>
      <c r="B826" s="88">
        <v>2</v>
      </c>
      <c r="C826" s="110">
        <v>0</v>
      </c>
      <c r="D826" s="88" t="s">
        <v>1800</v>
      </c>
      <c r="E826" s="88" t="b">
        <v>0</v>
      </c>
      <c r="F826" s="88" t="b">
        <v>0</v>
      </c>
      <c r="G826" s="88" t="b">
        <v>0</v>
      </c>
    </row>
    <row r="827" spans="1:7" ht="15">
      <c r="A827" s="83" t="s">
        <v>2499</v>
      </c>
      <c r="B827" s="88">
        <v>2</v>
      </c>
      <c r="C827" s="110">
        <v>0</v>
      </c>
      <c r="D827" s="88" t="s">
        <v>1800</v>
      </c>
      <c r="E827" s="88" t="b">
        <v>0</v>
      </c>
      <c r="F827" s="88" t="b">
        <v>0</v>
      </c>
      <c r="G827" s="88" t="b">
        <v>0</v>
      </c>
    </row>
    <row r="828" spans="1:7" ht="15">
      <c r="A828" s="83" t="s">
        <v>1964</v>
      </c>
      <c r="B828" s="88">
        <v>2</v>
      </c>
      <c r="C828" s="110">
        <v>0</v>
      </c>
      <c r="D828" s="88" t="s">
        <v>1800</v>
      </c>
      <c r="E828" s="88" t="b">
        <v>0</v>
      </c>
      <c r="F828" s="88" t="b">
        <v>0</v>
      </c>
      <c r="G828" s="88" t="b">
        <v>0</v>
      </c>
    </row>
    <row r="829" spans="1:7" ht="15">
      <c r="A829" s="83" t="s">
        <v>1965</v>
      </c>
      <c r="B829" s="88">
        <v>2</v>
      </c>
      <c r="C829" s="110">
        <v>0</v>
      </c>
      <c r="D829" s="88" t="s">
        <v>1800</v>
      </c>
      <c r="E829" s="88" t="b">
        <v>0</v>
      </c>
      <c r="F829" s="88" t="b">
        <v>0</v>
      </c>
      <c r="G829" s="88" t="b">
        <v>0</v>
      </c>
    </row>
    <row r="830" spans="1:7" ht="15">
      <c r="A830" s="83" t="s">
        <v>1965</v>
      </c>
      <c r="B830" s="88">
        <v>2</v>
      </c>
      <c r="C830" s="110">
        <v>0</v>
      </c>
      <c r="D830" s="88" t="s">
        <v>1803</v>
      </c>
      <c r="E830" s="88" t="b">
        <v>0</v>
      </c>
      <c r="F830" s="88" t="b">
        <v>0</v>
      </c>
      <c r="G830" s="88" t="b">
        <v>0</v>
      </c>
    </row>
    <row r="831" spans="1:7" ht="15">
      <c r="A831" s="83" t="s">
        <v>2473</v>
      </c>
      <c r="B831" s="88">
        <v>2</v>
      </c>
      <c r="C831" s="110">
        <v>0</v>
      </c>
      <c r="D831" s="88" t="s">
        <v>1803</v>
      </c>
      <c r="E831" s="88" t="b">
        <v>0</v>
      </c>
      <c r="F831" s="88" t="b">
        <v>0</v>
      </c>
      <c r="G831" s="88" t="b">
        <v>0</v>
      </c>
    </row>
    <row r="832" spans="1:7" ht="15">
      <c r="A832" s="83" t="s">
        <v>2695</v>
      </c>
      <c r="B832" s="88">
        <v>2</v>
      </c>
      <c r="C832" s="110">
        <v>0</v>
      </c>
      <c r="D832" s="88" t="s">
        <v>1803</v>
      </c>
      <c r="E832" s="88" t="b">
        <v>0</v>
      </c>
      <c r="F832" s="88" t="b">
        <v>0</v>
      </c>
      <c r="G832" s="88" t="b">
        <v>0</v>
      </c>
    </row>
    <row r="833" spans="1:7" ht="15">
      <c r="A833" s="83" t="s">
        <v>2696</v>
      </c>
      <c r="B833" s="88">
        <v>2</v>
      </c>
      <c r="C833" s="110">
        <v>0</v>
      </c>
      <c r="D833" s="88" t="s">
        <v>1803</v>
      </c>
      <c r="E833" s="88" t="b">
        <v>0</v>
      </c>
      <c r="F833" s="88" t="b">
        <v>0</v>
      </c>
      <c r="G833" s="88" t="b">
        <v>0</v>
      </c>
    </row>
    <row r="834" spans="1:7" ht="15">
      <c r="A834" s="83" t="s">
        <v>2057</v>
      </c>
      <c r="B834" s="88">
        <v>2</v>
      </c>
      <c r="C834" s="110">
        <v>0</v>
      </c>
      <c r="D834" s="88" t="s">
        <v>1804</v>
      </c>
      <c r="E834" s="88" t="b">
        <v>0</v>
      </c>
      <c r="F834" s="88" t="b">
        <v>0</v>
      </c>
      <c r="G834"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B98D3B2-3F0B-4CDB-8A2F-4199BAC697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2021-10-12T21:58:13Z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