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640" windowHeight="117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<sst xmlns="http://schemas.openxmlformats.org/spreadsheetml/2006/main" count="3264" uniqueCount="817">
  <si>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</si>
  <si>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</si>
  <si>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</si>
  <si>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</si>
  <si>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</si>
  <si>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</si>
  <si>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</si>
  <si>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</si>
  <si>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</si>
  <si>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</si>
  <si>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</si>
  <si>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</si>
  <si>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</si>
  <si>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</si>
  <si>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</si>
  <si>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</si>
  <si>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</si>
  <si>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</si>
  <si>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</si>
  <si>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</si>
  <si>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</si>
  <si>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</si>
  <si>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</si>
  <si>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</si>
  <si>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</si>
  <si>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</si>
  <si>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</si>
  <si>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</si>
  <si>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</si>
  <si>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</si>
  <si>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</si>
  <si>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</si>
  <si>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</si>
  <si>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</si>
  <si>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</si>
  <si>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</si>
  <si>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</si>
  <si>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</si>
  <si>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</si>
  <si>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</si>
  <si>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</si>
  <si>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</si>
  <si>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</si>
  <si>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</si>
  <si>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</si>
  <si>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</si>
  <si>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</si>
  <si>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</si>
  <si>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</si>
  <si>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</si>
  <si>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</si>
  <si>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</si>
  <si>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</si>
  <si>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</si>
  <si>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</si>
  <si>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</si>
  <si>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</si>
  <si>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</si>
  <si>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</si>
  <si>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</si>
  <si>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</si>
  <si>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</si>
  <si>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</si>
  <si>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</si>
  <si>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</si>
  <si>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</si>
  <si>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</si>
  <si>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</si>
  <si>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</si>
  <si>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</si>
  <si>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</si>
  <si>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</si>
  <si>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</si>
  <si>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</si>
  <si>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</si>
  <si>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</si>
  <si>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</si>
  <si>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</si>
  <si>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</si>
  <si>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</si>
  <si>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</si>
  <si>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</si>
  <si>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</si>
  <si>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</si>
  <si>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</si>
  <si>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</si>
  <si>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</si>
  <si>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</si>
  <si>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</si>
  <si>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</si>
  <si>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</si>
  <si>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</si>
  <si>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</si>
  <si>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</si>
  <si>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</si>
  <si>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</si>
  <si>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</si>
  <si>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</si>
  <si>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</si>
  <si>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</si>
  <si>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</si>
  <si>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</si>
  <si>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</si>
  <si>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</si>
  <si>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</si>
  <si>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</si>
  <si>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</si>
  <si>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</si>
  <si>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</si>
  <si>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</si>
  <si>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</si>
  <si>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</si>
  <si>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</si>
  <si>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</si>
  <si>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</si>
  <si>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</si>
  <si>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</si>
  <si>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</si>
  <si>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</si>
  <si>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</si>
  <si>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</si>
  <si>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</si>
  <si>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</si>
  <si>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</si>
  <si>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</si>
  <si>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</si>
  <si>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</si>
  <si>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</si>
  <si>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</si>
  <si>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</si>
  <si>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</si>
  <si>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</si>
  <si>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</si>
  <si>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</si>
  <si>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</si>
  <si>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</si>
  <si>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</si>
  <si>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</si>
  <si>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</si>
  <si>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</si>
  <si>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</si>
  <si>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</si>
  <si>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</si>
  <si>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</si>
  <si>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</si>
  <si>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</si>
  <si>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</si>
  <si>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</si>
  <si>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</si>
  <si>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</si>
  <si>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</si>
  <si>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</si>
  <si>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</si>
  <si>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</si>
  <si>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</si>
  <si>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</si>
  <si>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</si>
  <si>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</si>
  <si>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</si>
  <si>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</si>
  <si>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</si>
  <si>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</si>
  <si>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</si>
  <si>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</si>
  <si>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</si>
  <si>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</si>
  <si>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</si>
  <si>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</si>
  <si>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</si>
  <si>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</si>
  <si>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</si>
  <si>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</si>
  <si>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</si>
  <si>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</si>
  <si>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</si>
  <si>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</si>
  <si>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</si>
  <si>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</si>
  <si>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</si>
  <si>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</si>
  <si>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</si>
  <si>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</si>
  <si>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</si>
  <si>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</si>
  <si>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</si>
  <si>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</si>
  <si>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</si>
  <si>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</si>
  <si>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</si>
  <si>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</si>
  <si>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</si>
  <si>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</si>
  <si>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</si>
  <si>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</si>
  <si>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</si>
  <si>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</si>
  <si>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</si>
  <si>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</si>
  <si>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</si>
  <si>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</si>
  <si>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</si>
  <si>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</si>
  <si>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</si>
  <si>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</si>
  <si>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</si>
  <si>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</si>
  <si>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</si>
  <si>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</si>
  <si>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</si>
  <si>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</si>
  <si>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</si>
  <si>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</si>
  <si>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</si>
  <si>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</si>
  <si>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</si>
  <si>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</si>
  <si>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</si>
  <si>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</si>
  <si>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</si>
  <si>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</si>
  <si>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</si>
  <si>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</si>
  <si>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</si>
  <si>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</si>
  <si>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</si>
  <si>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</si>
  <si>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</si>
  <si>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</si>
  <si>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</si>
  <si>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</si>
  <si>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</si>
  <si>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</si>
  <si>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</si>
  <si>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</si>
  <si>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barbkiser</t>
  </si>
  <si>
    <t>crittheorybot</t>
  </si>
  <si>
    <t>jordanrossmedia</t>
  </si>
  <si>
    <t>naturaize</t>
  </si>
  <si>
    <t>raaga31280</t>
  </si>
  <si>
    <t>deitygalaxy</t>
  </si>
  <si>
    <t>hilton_philip</t>
  </si>
  <si>
    <t>ajumzu</t>
  </si>
  <si>
    <t>soph8b</t>
  </si>
  <si>
    <t>kat_toth</t>
  </si>
  <si>
    <t>ssbalu6465</t>
  </si>
  <si>
    <t>radhiga_v</t>
  </si>
  <si>
    <t>par_the_nomad</t>
  </si>
  <si>
    <t>pankutty1</t>
  </si>
  <si>
    <t>sivaroobini555</t>
  </si>
  <si>
    <t>makkolam</t>
  </si>
  <si>
    <t>gopalanvs2</t>
  </si>
  <si>
    <t>ganesanpant</t>
  </si>
  <si>
    <t>ungalnanbar</t>
  </si>
  <si>
    <t>saravanansivans</t>
  </si>
  <si>
    <t>krishnananban55</t>
  </si>
  <si>
    <t>bkannigaa</t>
  </si>
  <si>
    <t>sri_sri_yd</t>
  </si>
  <si>
    <t>shaktivel2</t>
  </si>
  <si>
    <t>selvakumar_in</t>
  </si>
  <si>
    <t>drmathimaths</t>
  </si>
  <si>
    <t>maha_simha</t>
  </si>
  <si>
    <t>srjk22</t>
  </si>
  <si>
    <t>aarjeekaykannan</t>
  </si>
  <si>
    <t>revenge1967</t>
  </si>
  <si>
    <t>harisri213</t>
  </si>
  <si>
    <t>srinivasan19041</t>
  </si>
  <si>
    <t>vibhu_prabhu</t>
  </si>
  <si>
    <t>bullettuupandi</t>
  </si>
  <si>
    <t>rprabhu</t>
  </si>
  <si>
    <t>bbcfarmingtoday</t>
  </si>
  <si>
    <t>barrysheerman</t>
  </si>
  <si>
    <t>yaronsamid</t>
  </si>
  <si>
    <t>Replies to</t>
  </si>
  <si>
    <t>Mentions</t>
  </si>
  <si>
    <t>MentionsInRetweet</t>
  </si>
  <si>
    <t>Retweet</t>
  </si>
  <si>
    <t>In vitro meat is effectively slaughter-based too. It's still largely reliant on foetal bovine serum harvested from the blood of foetuses, excised from slaughtered cows. https://t.co/XkmQMrKq6h</t>
  </si>
  <si>
    <t>My question was about who's doing this now.  
Mosa Meat was begun by Mark Post, who created the first in vitro burger. I'm familiar with it. Mosa doesn’t have a timeframe for approval or availability in supermarkets and doesn't have a cost estimate. https://t.co/Ie2vjYH6ax</t>
  </si>
  <si>
    <t>Texas Country Reporter and Les Nabis: Towards a Biopsychology of In Vitro Meat</t>
  </si>
  <si>
    <t>@kat_toth Yeah + cultured/in vitro meat is definitely controversial among even ethical vegans unfortunately. Will definitely check out your segment!</t>
  </si>
  <si>
    <t>@rprabhu @bullettuupandi @vibhu_prabhu @srinivasan19041 @HariSri213 @revenge1967 @aarjeekaykannan @srjk22 @maha_simha @drmathimaths @Selvakumar_IN @shaktivel2 @Sri_Sri_yd @BKannigaa @krishnananban55 @Saravanansivans @ungalnanbar @GanesanPant @GopalanVs2 @makkolam @SivaRoobini555 @Pankutty1 @raaga31280 @par_the_nomad @Radhiga_v @ssbalu6465 இதில் பல டெக்னிக்ஸ் உள்ளன..!
Soybean ன் DNA coding sequence ஐ உபயோகப்படுத்தும்..
Plant based meat ..:
Beyond Meat ..
Impossible Foods..!
மற்றது lab grown .. in vitro ..
Cultured meat..!
ஆக்ஸ்போர்ட் ரிசர்ச் 99% less space than for current livestock farming என்கிறது.! https://t.co/09H9tsG3K7</t>
  </si>
  <si>
    <t>Cleoy'göeem, most evil god of in vitro meat, needs you to "embiggen The Bildeborg". #Cleoygöeem #inVitroMeat</t>
  </si>
  <si>
    <t>@BarrySheerman @BBCFarmingToday Good morning Sir #MP Barry #LabourParty what do you think of #vitro #beef that’s been grown in #laboratory ? They say it is the future of #farming #FarmerProtest #Farmers does it have a dark side?or will it be the answer in the meat eating world what do you think? Good or bad? https://t.co/etknvTuXtD</t>
  </si>
  <si>
    <t>@yaronsamid I think in vitro meat and fish is inevitable for future's world nutrition. Habits and traditional dishes of billions will hardly change to vegan, even with the evident implications on climate and biodiversity.</t>
  </si>
  <si>
    <t>I wonder how many of those who are adamant that meat (ie. protein &amp;amp; fat) simply cannot be meat if it's manufactured in vitro (as opposed to in a uterus)....nonetheless firmly believe that minds will one day be uploadable.</t>
  </si>
  <si>
    <t>twitter.com</t>
  </si>
  <si>
    <t>cleoygöeem invitromeat</t>
  </si>
  <si>
    <t>mp labourparty vitro beef laboratory farming farmerprotest farmers</t>
  </si>
  <si>
    <t>13:49:04</t>
  </si>
  <si>
    <t>14:53:01</t>
  </si>
  <si>
    <t>21:06:10</t>
  </si>
  <si>
    <t>23:12:20</t>
  </si>
  <si>
    <t>16:41:04</t>
  </si>
  <si>
    <t>17:00:34</t>
  </si>
  <si>
    <t>14:36:06</t>
  </si>
  <si>
    <t>05:05:29</t>
  </si>
  <si>
    <t>17:14:51</t>
  </si>
  <si>
    <t>06:44:24</t>
  </si>
  <si>
    <t>1445385554502328340</t>
  </si>
  <si>
    <t>1445401647669202957</t>
  </si>
  <si>
    <t>1446220327734886405</t>
  </si>
  <si>
    <t>1446614468616613888</t>
  </si>
  <si>
    <t>1446878389135106054</t>
  </si>
  <si>
    <t>1446883298274250754</t>
  </si>
  <si>
    <t>1447209327442468865</t>
  </si>
  <si>
    <t>1447790506075885568</t>
  </si>
  <si>
    <t>1447974055106252807</t>
  </si>
  <si>
    <t>1445278680473751555</t>
  </si>
  <si>
    <t>1446613934195101699</t>
  </si>
  <si>
    <t>1446867094419640327</t>
  </si>
  <si>
    <t>1447787518661902336</t>
  </si>
  <si>
    <t>1447964514868137995</t>
  </si>
  <si>
    <t/>
  </si>
  <si>
    <t>204946416</t>
  </si>
  <si>
    <t>15466678</t>
  </si>
  <si>
    <t>250091875</t>
  </si>
  <si>
    <t>41143</t>
  </si>
  <si>
    <t>en</t>
  </si>
  <si>
    <t>et</t>
  </si>
  <si>
    <t>1445374355656085509</t>
  </si>
  <si>
    <t>1445387585745006610</t>
  </si>
  <si>
    <t>Twitter Web App</t>
  </si>
  <si>
    <t>Cheap Bots, Done Quick!</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</si>
  <si>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</si>
  <si>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</si>
  <si>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</si>
  <si>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</si>
  <si>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</si>
  <si>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</si>
  <si>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</si>
  <si>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</si>
  <si>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</si>
  <si>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</si>
  <si>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</si>
  <si>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</si>
  <si>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</si>
  <si>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</si>
  <si>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</si>
  <si>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</si>
  <si>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</si>
  <si>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</si>
  <si>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</si>
  <si>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</si>
  <si>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</si>
  <si>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</si>
  <si>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</si>
  <si>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</si>
  <si>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Barbara Kiser</t>
  </si>
  <si>
    <t>Theory Essay Title Bot</t>
  </si>
  <si>
    <t>Jordan Ross _xD83C__xDF31_(they/them)</t>
  </si>
  <si>
    <t>Katie Toth</t>
  </si>
  <si>
    <t>நா Madhavan</t>
  </si>
  <si>
    <t>Namo Balu</t>
  </si>
  <si>
    <t>RaviKumar V _xD83C__xDDEE__xD83C__xDDF3_</t>
  </si>
  <si>
    <t>RV _xD83C__xDDEE__xD83C__xDDF3_</t>
  </si>
  <si>
    <t>_xD83D__xDC2F_பி♈️_xD83D__xDE97__xD83E__xDD2B_ _xD83D__xDEA9__xD83C__xDDEE__xD83C__xDDF3_</t>
  </si>
  <si>
    <t>AliceInTheAttic</t>
  </si>
  <si>
    <t>_xD80C__xDD02__xD81A__xDD13_அஸ்தினாபுரத்து༼_xD83D__xDC78_༽அரசி༒_xD80C__xDCF0_</t>
  </si>
  <si>
    <t>Nirmala Shankar_xD83C__xDDEE__xD83C__xDDF3_</t>
  </si>
  <si>
    <t>@GopalanVs- a proud Hindu-JAIHIND _xD83C__xDDEE__xD83C__xDDF3__xD83C__xDDEE__xD83C__xDDF3_</t>
  </si>
  <si>
    <t>Chowhidar Nallathambi Ganesan</t>
  </si>
  <si>
    <t>RkMuthwho _xD83C__xDDEE__xD83C__xDDF3_</t>
  </si>
  <si>
    <t>Saravanan Sivan</t>
  </si>
  <si>
    <t>கிருஷ்ணதாசன்</t>
  </si>
  <si>
    <t>Kannigaa</t>
  </si>
  <si>
    <t>_xD83C__xDDEE__xD83C__xDDF3_ Sri.Sri.Yadav _xD83C__xDDEE__xD83C__xDDF3_</t>
  </si>
  <si>
    <t>Bolitically Uncorrect _xD83C__xDDEE__xD83C__xDDF3_</t>
  </si>
  <si>
    <t>Selva Kumar</t>
  </si>
  <si>
    <t>Mathi</t>
  </si>
  <si>
    <t>Maha Simha</t>
  </si>
  <si>
    <t>சகடை _xD83C__xDDEE__xD83C__xDDF3_</t>
  </si>
  <si>
    <t>r g kannan_xD83C__xDDEE__xD83C__xDDF3_</t>
  </si>
  <si>
    <t>YESKAY, THE HINDIAN</t>
  </si>
  <si>
    <t>Hari Sri _xD83C__xDDEE__xD83C__xDDF3_</t>
  </si>
  <si>
    <t>Srinivasa Iyer ஶ்ரீநிவாஸ ஐயர்</t>
  </si>
  <si>
    <t>शिवராஜरामராஜॐ</t>
  </si>
  <si>
    <t>புல்லட்டுப் பாண்டி</t>
  </si>
  <si>
    <t>R. Prabhu</t>
  </si>
  <si>
    <t>All the Deities</t>
  </si>
  <si>
    <t>Philip Hilton yogi main</t>
  </si>
  <si>
    <t>Farming Today</t>
  </si>
  <si>
    <t>Barry Sheerman MP</t>
  </si>
  <si>
    <t>A. J. Umzu</t>
  </si>
  <si>
    <t>Yaron Samid ❤️</t>
  </si>
  <si>
    <t>Sophie</t>
  </si>
  <si>
    <t>23600122</t>
  </si>
  <si>
    <t>946897442909196288</t>
  </si>
  <si>
    <t>33779166</t>
  </si>
  <si>
    <t>877182626280460288</t>
  </si>
  <si>
    <t>2235722090</t>
  </si>
  <si>
    <t>178701967</t>
  </si>
  <si>
    <t>844598901344800769</t>
  </si>
  <si>
    <t>796282904976367618</t>
  </si>
  <si>
    <t>1159680290194804737</t>
  </si>
  <si>
    <t>827844862905049088</t>
  </si>
  <si>
    <t>1287842363948199941</t>
  </si>
  <si>
    <t>1354457272026505218</t>
  </si>
  <si>
    <t>2944257782</t>
  </si>
  <si>
    <t>166189891</t>
  </si>
  <si>
    <t>1088016983126290432</t>
  </si>
  <si>
    <t>286014741</t>
  </si>
  <si>
    <t>1094449455862931456</t>
  </si>
  <si>
    <t>1263864359219982337</t>
  </si>
  <si>
    <t>539716163</t>
  </si>
  <si>
    <t>1243470321656578048</t>
  </si>
  <si>
    <t>2959432734</t>
  </si>
  <si>
    <t>1036115869661687808</t>
  </si>
  <si>
    <t>865705043516825601</t>
  </si>
  <si>
    <t>1127245123</t>
  </si>
  <si>
    <t>1250285286870757378</t>
  </si>
  <si>
    <t>1337516386390745090</t>
  </si>
  <si>
    <t>775622146236092416</t>
  </si>
  <si>
    <t>831193937746526211</t>
  </si>
  <si>
    <t>1198212293344911360</t>
  </si>
  <si>
    <t>973647568398962688</t>
  </si>
  <si>
    <t>2778616972</t>
  </si>
  <si>
    <t>819612452</t>
  </si>
  <si>
    <t>824684879598223362</t>
  </si>
  <si>
    <t>982284503359148032</t>
  </si>
  <si>
    <t>Editor, writer, ex-commissioning ed. of Nature Books and Arts. Still in pursuit of joined-up thinking.</t>
  </si>
  <si>
    <t>I am a bot that tweets titles for critical theory essays.  I exist thanks to Tracery and https://t.co/fz3bB2yIJg</t>
  </si>
  <si>
    <t>Canadian New Yorker living in Vancouver. Values evidence-based compassion for local and global issues. Video creator, cyclist, vegan. _xD83D__xDCF9__xD83D__xDEB2__xD83C__xDF2F_ IG: jordanvegfood</t>
  </si>
  <si>
    <t>i look up at the northern lights + down at my computer screen, mostly for @cbc. alum @columbiajourn, @villagevoice (RIP). tweets delete _xD83E__xDDD0__xD83C__xDF54__xD83C__xDF08_</t>
  </si>
  <si>
    <t>Varna...not breastplate of Karna..!  வர்ணம் இயல்பாய் தரித்த எம் உடை. உடலொடு ஒட்டி வந்த கர்ண கவசமல்ல. I Choose 'Shudram' An Integrating ‘Thread’ in Dharma Path.</t>
  </si>
  <si>
    <t>ஒலி எழுப்பாதீர்கள் இங்கே ஹிந்துக்கள் உறங்கிக்கொண்டிருக்கிறார்கள்...</t>
  </si>
  <si>
    <t>Proud Indian, Hard Core Sanghi, Modi Bhakt.
இந்தியன், இந்து, தீவிர சங்கி,மோடிஜி பக்தன்,பிராமணன். போலி மதச்சார்பின்மை பேசாதவன். மதநல்லிணக்கம் போதும். ஜெய்ஹிந்த்.</t>
  </si>
  <si>
    <t>.Nation first _xD83C__xDDEE__xD83C__xDDF3_..BJP ( Edu Wing)..हिंदी प्रचारक, दक्षिण भारत हिंदी प्रचार सभा, मद्रास....Mathematics...</t>
  </si>
  <si>
    <t>அறம் செய்ய விரும்பு.  
ஆறுவது சினம்.   
ஊக்கமது கைவிடேல்.  
ஏற்பது இகழ்ச்சி.  
ஐயமிட்டு உண்.
open DM_xD83E__xDD2A__xD83E__xDD2A_</t>
  </si>
  <si>
    <t>Secularism is A Manual of Methods of Conspiracies Against the Hinduism.</t>
  </si>
  <si>
    <t>ஜெய் மஹிஷாசுரமர்த்தினி_xD83D__xDD25_
Saffron Lover_xD83D__xDEA9_
கற்றுணைப் பூட்டியோர் கடலிற் பாய்ச்சினும் நற்றுணை யாவது நமச்சிவாயவே_xD83D__xDD31_
_xD83D__xDC51_என்றும் பிரஜைகள் நலனே அரசிக்கு பிரதானம்_xD83D__xDC78_</t>
  </si>
  <si>
    <t>My Traditions My Heritage My Faith - My Pride</t>
  </si>
  <si>
    <t>Where the mind is without fear and 
the head is held high.--
FEARLRSS TRIO</t>
  </si>
  <si>
    <t>i am rss in 1980 present i am modi's blind fans Barthmathku jai ahanda barath rulled Rss very soon</t>
  </si>
  <si>
    <t>Human first, do ur best &amp; leave the rest :-)  _xD83D__xDC4D__xD83E__xDD18_loves long drives, travelling, reading. Jai Hind _xD83C__xDDEE__xD83C__xDDF3__xD83D__xDD49_️</t>
  </si>
  <si>
    <t>இரத்தநாள அறுவைசிகிச்சை நிபுணர்
உழைக்கிற நோக்கம் உறுதியாகிட்டா கெடுக்கிற நோக்கம் வளராது.
தேசம் மதம் இனம் மொழி சாதி குடும்பம் இவற்றை சரிவிகிதத்தில் நேசிப்பவன்</t>
  </si>
  <si>
    <t>உண்ணும் உணவும், பருகும் நீரும், சுவாசிக்கும் காற்றும்,  என்னுள்ளும், நான் பார்க்கும் அனைத்தும் கண்ணன். அனைத்தும் மாதவன் செயலே. எல்லாம் கிருஷ்ண மயம்.</t>
  </si>
  <si>
    <t>ஓம் நமோ பகவதே வாசுதேவாய _xD83D__xDE4F_ _xD83D__xDE4F_ , ஆன்மீகவாதி, தேசியவாதி,. மோடி ரசிகை.....hates anti- nationalists.. #ஜெய்ஹிந்த்</t>
  </si>
  <si>
    <t>Spiritual || Politics || Social || கூலி தொழிலாளி                         
மௌனம் என்பது ஞான வரம்பு_xD83E__xDDD8_...     
      இல்லாததுபோல் இருந்து என்றும் இருப்பது இறை....</t>
  </si>
  <si>
    <t>Belong to the MUDALIAR stock.
समत्वम+सहोदरत्वम=हिन्दुत्वम
சமத்துவம்+ சகோதரத்துவம்= ஹிந்துத்துவம்.
சிவமே அன்பு.
Against Hinduphobia in any form.</t>
  </si>
  <si>
    <t>IT Entrepreneur | BJP Supporter| Kongu Naadu</t>
  </si>
  <si>
    <t>விட்டமோர் ஏழு செய்து
      திகைவர நான்கு சேர்த்து
சட்டெனெ இரட்டி செயின் 
     திகைப்பன சுற்றுத்தானே”
-காக்கைப்பாடினியார்.
      வரப்புயர-ஔவையார்.
1- family 1-Id</t>
  </si>
  <si>
    <t>Hindu, Nationalist.</t>
  </si>
  <si>
    <t>வங்க கடற்கரை ஓரம் காவிரி வண்டல் நிலத்தில் வசிக்கும் ஒரு பட்டிக்காட்டு பீடி வாலா தமிழன்,</t>
  </si>
  <si>
    <t>ஜெய் ஹிந்த்!! வந்தே மாதரம்!! இந்திய நாடு என் வீடு
இந்தியன் என்பது என் பேரு!!
இந்து மதம்தான் என் மூச்சு!!
இசையும் எழுத்தும் என் பேச்சு!!</t>
  </si>
  <si>
    <t>HINDIAN.. PURE HINDU.. NO CHICORY BLEND..</t>
  </si>
  <si>
    <t>Proud Sanatani,Hard-core Hindu_xD83D__xDEA9_,Proud Nationalist, Country_xD83D__xDE0D_first, Modiji fan, RTs aren't endorsements. கடவுள் இல்லை என்போர், திராவிடர் என்னை பின்தொடர வேண்டாம்</t>
  </si>
  <si>
    <t>https://t.co/h6RSNMbANx hindusthānam is divine HINDU VOTE IS SACRED https://t.co/WNOaHzZ11h</t>
  </si>
  <si>
    <t>RTs are not endorsements</t>
  </si>
  <si>
    <t>Author | Software Tech Consultant | Leadership Training | My book - AWE! - Ancient Wisdom Explored - Part 1 &amp; 2 - https://t.co/wyvbjpfANO</t>
  </si>
  <si>
    <t>⚡️DO AS YOUR DEITIES COMMAND⚡️
Tweet @deitygalaxy to summon a deity.
A bot by @dansumption</t>
  </si>
  <si>
    <t>#manager #socialmedia for #SassyVeZay #singer C/W #madonna #fan #artist fx #art #yogi writer #journalist manager #arnoldnelsontt Madonna girl Dale ,chef</t>
  </si>
  <si>
    <t>@BBCRadio4's Farming Today programme Mon-Fri 05.44, Sat 06.30</t>
  </si>
  <si>
    <t>Labour and Co-operative MP for Huddersfield
Social enterpriser and campaigner
Please email me at barry.sheerman.mp@parliament.uk for all enquiries.</t>
  </si>
  <si>
    <t>Systems Engineer with a bunch of interests - #aerospace, game theory,  autonomous systems, #machinelearning and machine #ethics.</t>
  </si>
  <si>
    <t>3X dad, 3X founder, investor and community builder. Building and activating giver networks in support of fellow entrepreneurs at @TechAviv and @FounderPartners.</t>
  </si>
  <si>
    <t>Animal rights</t>
  </si>
  <si>
    <t>London</t>
  </si>
  <si>
    <t>Vancouver, British Columbia</t>
  </si>
  <si>
    <t>Denendeh</t>
  </si>
  <si>
    <t>Cambridge, England</t>
  </si>
  <si>
    <t>coimbatore, India</t>
  </si>
  <si>
    <t>Hindusthan, தொண்டை நாடு</t>
  </si>
  <si>
    <t>Hindusthan</t>
  </si>
  <si>
    <t>vaikunda c/o muruga _xD83D__xDE4F__xD83D__xDE4F_</t>
  </si>
  <si>
    <t xml:space="preserve">Madras State </t>
  </si>
  <si>
    <t>Hastinapur</t>
  </si>
  <si>
    <t>Mumbai, India</t>
  </si>
  <si>
    <t>Kovilpatti, India</t>
  </si>
  <si>
    <t xml:space="preserve"> TAMILNADU INDIA</t>
  </si>
  <si>
    <t>தமிழ்நாடு</t>
  </si>
  <si>
    <t xml:space="preserve">கண்ணனின் திருவடி </t>
  </si>
  <si>
    <t>India</t>
  </si>
  <si>
    <t>Barath</t>
  </si>
  <si>
    <t>Leh</t>
  </si>
  <si>
    <t>Coimbatore</t>
  </si>
  <si>
    <t>tamilnadu</t>
  </si>
  <si>
    <t>Tamil Nadu, India</t>
  </si>
  <si>
    <t>TN, BHARAT</t>
  </si>
  <si>
    <t>Bhuvanam</t>
  </si>
  <si>
    <t>Coimbatore, India</t>
  </si>
  <si>
    <t>OMNIPRESENT when not in Sheffπ</t>
  </si>
  <si>
    <t>eastleigh</t>
  </si>
  <si>
    <t>Huddersfield</t>
  </si>
  <si>
    <t>Germany</t>
  </si>
  <si>
    <t>Tel Aviv</t>
  </si>
  <si>
    <t>Open Twitter Page for This Person</t>
  </si>
  <si>
    <t>barbkiser
My question was about who's doing
this now. Mosa Meat was begun by
Mark Post, who created the first
in vitro burger. I'm familiar with
it. Mosa doesn’t have a timeframe
for approval or availability in
supermarkets and doesn't have a
cost estimate. https://t.co/Ie2vjYH6ax</t>
  </si>
  <si>
    <t>crittheorybot
Texas Country Reporter and Les
Nabis: Towards a Biopsychology
of In Vitro Meat</t>
  </si>
  <si>
    <t>jordanrossmedia
@kat_toth Yeah + cultured/in vitro
meat is definitely controversial
among even ethical vegans unfortunately.
Will definitely check out your
segment!</t>
  </si>
  <si>
    <t xml:space="preserve">kat_toth
</t>
  </si>
  <si>
    <t>naturaize
@rprabhu @bullettuupandi @vibhu_prabhu
@srinivasan19041 @HariSri213 @revenge1967
@aarjeekaykannan @srjk22 @maha_simha
@drmathimaths @Selvakumar_IN @shaktivel2
@Sri_Sri_yd @BKannigaa @krishnananban55
@Saravanansivans @ungalnanbar @GanesanPant
@GopalanVs2 @makkolam @SivaRoobini555
@Pankutty1 @raaga31280 @par_the_nomad
@Radhiga_v @ssbalu6465 இதில் பல
டெக்னிக்ஸ் உள்ளன..! Soybean ன்
DNA coding sequence ஐ உபயோகப்படுத்தும்..
Plant based meat ..: Beyond Meat
.. Impossible Foods..! மற்றது lab
grown .. in vitro .. Cultured meat..!
ஆக்ஸ்போர்ட் ரிசர்ச் 99% less space
than for current livestock farming
என்கிறது.! https://t.co/09H9tsG3K7</t>
  </si>
  <si>
    <t xml:space="preserve">ssbalu6465
</t>
  </si>
  <si>
    <t>raaga31280
@rprabhu @bullettuupandi @vibhu_prabhu
@srinivasan19041 @HariSri213 @revenge1967
@aarjeekaykannan @srjk22 @maha_simha
@drmathimaths @Selvakumar_IN @shaktivel2
@Sri_Sri_yd @BKannigaa @krishnananban55
@Saravanansivans @ungalnanbar @GanesanPant
@GopalanVs2 @makkolam @SivaRoobini555
@Pankutty1 @raaga31280 @par_the_nomad
@Radhiga_v @ssbalu6465 இதில் பல
டெக்னிக்ஸ் உள்ளன..! Soybean ன்
DNA coding sequence ஐ உபயோகப்படுத்தும்..
Plant based meat ..: Beyond Meat
.. Impossible Foods..! மற்றது lab
grown .. in vitro .. Cultured meat..!
ஆக்ஸ்போர்ட் ரிசர்ச் 99% less space
than for current livestock farming
என்கிறது.! https://t.co/09H9tsG3K7</t>
  </si>
  <si>
    <t xml:space="preserve">radhiga_v
</t>
  </si>
  <si>
    <t xml:space="preserve">par_the_nomad
</t>
  </si>
  <si>
    <t xml:space="preserve">pankutty1
</t>
  </si>
  <si>
    <t xml:space="preserve">sivaroobini555
</t>
  </si>
  <si>
    <t xml:space="preserve">makkolam
</t>
  </si>
  <si>
    <t xml:space="preserve">gopalanvs2
</t>
  </si>
  <si>
    <t xml:space="preserve">ganesanpant
</t>
  </si>
  <si>
    <t xml:space="preserve">ungalnanbar
</t>
  </si>
  <si>
    <t xml:space="preserve">saravanansivans
</t>
  </si>
  <si>
    <t xml:space="preserve">krishnananban55
</t>
  </si>
  <si>
    <t xml:space="preserve">bkannigaa
</t>
  </si>
  <si>
    <t xml:space="preserve">sri_sri_yd
</t>
  </si>
  <si>
    <t xml:space="preserve">shaktivel2
</t>
  </si>
  <si>
    <t xml:space="preserve">selvakumar_in
</t>
  </si>
  <si>
    <t xml:space="preserve">drmathimaths
</t>
  </si>
  <si>
    <t xml:space="preserve">maha_simha
</t>
  </si>
  <si>
    <t xml:space="preserve">srjk22
</t>
  </si>
  <si>
    <t xml:space="preserve">aarjeekaykannan
</t>
  </si>
  <si>
    <t xml:space="preserve">revenge1967
</t>
  </si>
  <si>
    <t xml:space="preserve">harisri213
</t>
  </si>
  <si>
    <t xml:space="preserve">srinivasan19041
</t>
  </si>
  <si>
    <t xml:space="preserve">vibhu_prabhu
</t>
  </si>
  <si>
    <t xml:space="preserve">bullettuupandi
</t>
  </si>
  <si>
    <t xml:space="preserve">rprabhu
</t>
  </si>
  <si>
    <t>deitygalaxy
Cleoy'göeem, most evil god of in
vitro meat, needs you to "embiggen
The Bildeborg". #Cleoygöeem #inVitroMeat</t>
  </si>
  <si>
    <t>hilton_philip
@BarrySheerman @BBCFarmingToday
Good morning Sir #MP Barry #LabourParty
what do you think of #vitro #beef
that’s been grown in #laboratory
? They say it is the future of
#farming #FarmerProtest #Farmers
does it have a dark side?or will
it be the answer in the meat eating
world what do you think? Good or
bad? https://t.co/etknvTuXtD</t>
  </si>
  <si>
    <t xml:space="preserve">bbcfarmingtoday
</t>
  </si>
  <si>
    <t xml:space="preserve">barrysheerman
</t>
  </si>
  <si>
    <t>ajumzu
@yaronsamid I think in vitro meat
and fish is inevitable for future's
world nutrition. Habits and traditional
dishes of billions will hardly
change to vegan, even with the
evident implications on climate
and biodiversity.</t>
  </si>
  <si>
    <t xml:space="preserve">yaronsamid
</t>
  </si>
  <si>
    <t>soph8b
I wonder how many of those who
are adamant that meat (ie. protein
&amp;amp; fat) simply cannot be meat
if it's manufactured in vitro (as
opposed to in a uterus)....nonetheless
firmly believe that minds will
one day be uploadable.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</si>
  <si>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</si>
  <si>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</si>
  <si>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</si>
  <si>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</si>
  <si>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</si>
  <si>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</si>
  <si>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</si>
  <si>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</si>
  <si>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</si>
  <si>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</si>
  <si>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</si>
  <si>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</si>
  <si>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</si>
  <si>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</si>
  <si>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</si>
  <si>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</si>
  <si>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</si>
  <si>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</si>
  <si>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https://twitter.com/chill_purr/status/1445387585745006610</t>
  </si>
  <si>
    <t>https://twitter.com/jan_dutkiewicz/status/1445374355656085509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</si>
  <si>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</si>
  <si>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</si>
  <si>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</si>
  <si>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</si>
  <si>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</si>
  <si>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</si>
  <si>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</si>
  <si>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</si>
  <si>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</si>
  <si>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</si>
  <si>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</si>
  <si>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</si>
  <si>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https://twitter.com/chill_purr/status/1445387585745006610 https://twitter.com/jan_dutkiewicz/status/1445374355656085509</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</si>
  <si>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</si>
  <si>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</si>
  <si>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</si>
  <si>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</si>
  <si>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</si>
  <si>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</si>
  <si>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</si>
  <si>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</si>
  <si>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mp</t>
  </si>
  <si>
    <t>labourparty</t>
  </si>
  <si>
    <t>vitro</t>
  </si>
  <si>
    <t>beef</t>
  </si>
  <si>
    <t>laboratory</t>
  </si>
  <si>
    <t>farming</t>
  </si>
  <si>
    <t>farmerprotest</t>
  </si>
  <si>
    <t>farmers</t>
  </si>
  <si>
    <t>cleoygöeem</t>
  </si>
  <si>
    <t>invitromeat</t>
  </si>
  <si>
    <t>Top Hashtags in Tweet in G1</t>
  </si>
  <si>
    <t>Top Hashtags in Tweet in G2</t>
  </si>
  <si>
    <t>Top Hashtags in Tweet in G3</t>
  </si>
  <si>
    <t>Top Hashtags in Tweet in G4</t>
  </si>
  <si>
    <t>Top Hashtags in Tweet in G5</t>
  </si>
  <si>
    <t>Top Hashtags in Tweet</t>
  </si>
  <si>
    <t>Top Words in Tweet in Entire Graph</t>
  </si>
  <si>
    <t>meat</t>
  </si>
  <si>
    <t>க</t>
  </si>
  <si>
    <t>ட</t>
  </si>
  <si>
    <t>ன</t>
  </si>
  <si>
    <t>ஸ</t>
  </si>
  <si>
    <t>த</t>
  </si>
  <si>
    <t>றத</t>
  </si>
  <si>
    <t>ர</t>
  </si>
  <si>
    <t>think</t>
  </si>
  <si>
    <t>Top Words in Tweet in G1</t>
  </si>
  <si>
    <t>Top Words in Tweet in G2</t>
  </si>
  <si>
    <t>mosa</t>
  </si>
  <si>
    <t>Top Words in Tweet in G3</t>
  </si>
  <si>
    <t>good</t>
  </si>
  <si>
    <t>Top Words in Tweet in G4</t>
  </si>
  <si>
    <t>Top Words in Tweet in G5</t>
  </si>
  <si>
    <t>definitely</t>
  </si>
  <si>
    <t>Top Words in Tweet</t>
  </si>
  <si>
    <t>க meat ட ன ஸ த றத ர rprabhu bullettuupandi</t>
  </si>
  <si>
    <t>meat vitro mosa</t>
  </si>
  <si>
    <t>good think</t>
  </si>
  <si>
    <t>Top Word Pairs in Tweet in Entire Graph</t>
  </si>
  <si>
    <t>vitro,meat</t>
  </si>
  <si>
    <t>rprabhu,bullettuupandi</t>
  </si>
  <si>
    <t>bullettuupandi,vibhu_prabhu</t>
  </si>
  <si>
    <t>vibhu_prabhu,srinivasan19041</t>
  </si>
  <si>
    <t>srinivasan19041,harisri213</t>
  </si>
  <si>
    <t>harisri213,revenge1967</t>
  </si>
  <si>
    <t>revenge1967,aarjeekaykannan</t>
  </si>
  <si>
    <t>aarjeekaykannan,srjk22</t>
  </si>
  <si>
    <t>srjk22,maha_simha</t>
  </si>
  <si>
    <t>maha_simha,drmathimaths</t>
  </si>
  <si>
    <t>Top Word Pairs in Tweet in G1</t>
  </si>
  <si>
    <t>drmathimaths,selvakumar_in</t>
  </si>
  <si>
    <t>Top Word Pairs in Tweet in G2</t>
  </si>
  <si>
    <t>Top Word Pairs in Tweet in G3</t>
  </si>
  <si>
    <t>Top Word Pairs in Tweet in G4</t>
  </si>
  <si>
    <t>Top Word Pairs in Tweet in G5</t>
  </si>
  <si>
    <t>Top Word Pairs in Tweet</t>
  </si>
  <si>
    <t>rprabhu,bullettuupandi  bullettuupandi,vibhu_prabhu  vibhu_prabhu,srinivasan19041  srinivasan19041,harisri213  harisri213,revenge1967  revenge1967,aarjeekaykannan  aarjeekaykannan,srjk22  srjk22,maha_simha  maha_simha,drmathimaths  drmathimaths,selvakumar_in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</si>
  <si>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</si>
  <si>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</si>
  <si>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</si>
  <si>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</si>
  <si>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</si>
  <si>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</si>
  <si>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</si>
  <si>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</si>
  <si>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</si>
  <si>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</si>
  <si>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</si>
  <si>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</si>
  <si>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</si>
  <si>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</si>
  <si>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bullettuupandi vibhu_prabhu srinivasan19041 harisri213 revenge1967 aarjeekaykannan srjk22 maha_simha drmathimaths selvakumar_in</t>
  </si>
  <si>
    <t>Top Tweeters in Entire Graph</t>
  </si>
  <si>
    <t>Top Tweeters in G1</t>
  </si>
  <si>
    <t>Top Tweeters in G2</t>
  </si>
  <si>
    <t>Top Tweeters in G3</t>
  </si>
  <si>
    <t>Top Tweeters in G4</t>
  </si>
  <si>
    <t>Top Tweeters in G5</t>
  </si>
  <si>
    <t>Top Tweeters</t>
  </si>
  <si>
    <t>srjk22 saravanansivans par_the_nomad raaga31280 naturaize aarjeekaykannan ungalnanbar krishnananban55 harisri213 sri_sri_yd</t>
  </si>
  <si>
    <t>barbkiser crittheorybot deitygalaxy soph8b</t>
  </si>
  <si>
    <t>hilton_philip barrysheerman bbcfarmingtoday</t>
  </si>
  <si>
    <t>yaronsamid ajumzu</t>
  </si>
  <si>
    <t>jordanrossmedia kat_toth</t>
  </si>
  <si>
    <t>Top URLs in Tweet by Count</t>
  </si>
  <si>
    <t>Top URLs in Tweet by Salience</t>
  </si>
  <si>
    <t>Top Domains in Tweet by Count</t>
  </si>
  <si>
    <t>Top Domains in Tweet by Salience</t>
  </si>
  <si>
    <t>Top Hashtags in Tweet by Count</t>
  </si>
  <si>
    <t>Top Hashtags in Tweet by Salience</t>
  </si>
  <si>
    <t>Top Words in Tweet by Count</t>
  </si>
  <si>
    <t>wonder many those adamant ie protein fat simply manufactured opposed</t>
  </si>
  <si>
    <t>mosa question doing now begun mark post created first burger</t>
  </si>
  <si>
    <t>texas country reporter les nabis towards biopsychology</t>
  </si>
  <si>
    <t>definitely kat_toth yeah cultured controversial even ethical vegans unfortunately check</t>
  </si>
  <si>
    <t>க ட ன ஸ த றத ர rprabhu bullettuupandi vibhu_prabhu</t>
  </si>
  <si>
    <t>cleoy'göeem evil god needs embiggen bildeborg #cleoygöeem #invitromeat</t>
  </si>
  <si>
    <t>good think barrysheerman bbcfarmingtoday morning sir #mp barry #labourparty #vitro</t>
  </si>
  <si>
    <t>yaronsamid think fish inevitable future's world nutrition habits traditional dishes</t>
  </si>
  <si>
    <t>Top Words in Tweet by Salience</t>
  </si>
  <si>
    <t>Top Word Pairs in Tweet by Count</t>
  </si>
  <si>
    <t>wonder,many  many,those  those,adamant  adamant,meat  meat,ie  ie,protein  protein,fat  fat,simply  simply,meat  meat,manufactured</t>
  </si>
  <si>
    <t>question,doing  doing,now  now,mosa  mosa,meat  meat,begun  begun,mark  mark,post  post,created  created,first  first,vitro</t>
  </si>
  <si>
    <t>texas,country  country,reporter  reporter,les  les,nabis  nabis,towards  towards,biopsychology  biopsychology,vitro  vitro,meat</t>
  </si>
  <si>
    <t>kat_toth,yeah  yeah,cultured  cultured,vitro  vitro,meat  meat,definitely  definitely,controversial  controversial,even  even,ethical  ethical,vegans  vegans,unfortunately</t>
  </si>
  <si>
    <t>cleoy'göeem,evil  evil,god  god,vitro  vitro,meat  meat,needs  needs,embiggen  embiggen,bildeborg  bildeborg,#cleoygöeem  #cleoygöeem,#invitromeat</t>
  </si>
  <si>
    <t>barrysheerman,bbcfarmingtoday  bbcfarmingtoday,good  good,morning  morning,sir  sir,#mp  #mp,barry  barry,#labourparty  #labourparty,think  think,#vitro  #vitro,#beef</t>
  </si>
  <si>
    <t>yaronsamid,think  think,vitro  vitro,meat  meat,fish  fish,inevitable  inevitable,future's  future's,world  world,nutrition  nutrition,habits  habits,traditional</t>
  </si>
  <si>
    <t>Top Word Pairs in Tweet by Salience</t>
  </si>
  <si>
    <t>Word</t>
  </si>
  <si>
    <t>Sentiment List#1</t>
  </si>
  <si>
    <t>Sentiment List#2</t>
  </si>
  <si>
    <t>Sentiment List#3</t>
  </si>
  <si>
    <t>Words in Sentiment List#1</t>
  </si>
  <si>
    <t>Words in Sentiment List#2</t>
  </si>
  <si>
    <t>Words in Sentiment List#3</t>
  </si>
  <si>
    <t>Non-categorized Words</t>
  </si>
  <si>
    <t>Total Words</t>
  </si>
  <si>
    <t>grown</t>
  </si>
  <si>
    <t>based</t>
  </si>
  <si>
    <t>cultured</t>
  </si>
  <si>
    <t>world</t>
  </si>
  <si>
    <t>even</t>
  </si>
  <si>
    <t>இத</t>
  </si>
  <si>
    <t>ல</t>
  </si>
  <si>
    <t>பல</t>
  </si>
  <si>
    <t>உள</t>
  </si>
  <si>
    <t>ளன</t>
  </si>
  <si>
    <t>soybean</t>
  </si>
  <si>
    <t>dna</t>
  </si>
  <si>
    <t>coding</t>
  </si>
  <si>
    <t>sequence</t>
  </si>
  <si>
    <t>ஐ</t>
  </si>
  <si>
    <t>உபய</t>
  </si>
  <si>
    <t>கப</t>
  </si>
  <si>
    <t>பட</t>
  </si>
  <si>
    <t>ம</t>
  </si>
  <si>
    <t>plant</t>
  </si>
  <si>
    <t>beyond</t>
  </si>
  <si>
    <t>impossible</t>
  </si>
  <si>
    <t>foods</t>
  </si>
  <si>
    <t>மற</t>
  </si>
  <si>
    <t>lab</t>
  </si>
  <si>
    <t>ஆக</t>
  </si>
  <si>
    <t>ப</t>
  </si>
  <si>
    <t>சர</t>
  </si>
  <si>
    <t>ச</t>
  </si>
  <si>
    <t>99</t>
  </si>
  <si>
    <t>less</t>
  </si>
  <si>
    <t>space</t>
  </si>
  <si>
    <t>current</t>
  </si>
  <si>
    <t>livestock</t>
  </si>
  <si>
    <t>என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</si>
  <si>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</si>
  <si>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</si>
  <si>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</si>
  <si>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</si>
  <si>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</si>
  <si>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</si>
  <si>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</si>
  <si>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</si>
  <si>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</si>
  <si>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</si>
  <si>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</si>
  <si>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</si>
  <si>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</si>
  <si>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</si>
  <si>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</si>
  <si>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</si>
  <si>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</si>
  <si>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</si>
  <si>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</si>
  <si>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</si>
  <si>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</si>
  <si>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</si>
  <si>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</si>
  <si>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</si>
  <si>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</si>
  <si>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</si>
  <si>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</si>
  <si>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</si>
  <si>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</si>
  <si>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</si>
  <si>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</si>
  <si>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</si>
  <si>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</si>
  <si>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</si>
  <si>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</si>
  <si>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</si>
  <si>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</si>
  <si>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</si>
  <si>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</si>
  <si>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</si>
  <si>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</si>
  <si>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</si>
  <si>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</si>
  <si>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</si>
  <si>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</si>
  <si>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</si>
  <si>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</si>
  <si>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</si>
  <si>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</si>
  <si>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</si>
  <si>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</si>
  <si>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</si>
  <si>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</si>
  <si>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</si>
  <si>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</si>
  <si>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</si>
  <si>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</si>
  <si>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</si>
  <si>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</si>
  <si>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</si>
  <si>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</si>
  <si>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</si>
  <si>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</si>
  <si>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</si>
  <si>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</si>
  <si>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</si>
  <si>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</si>
  <si>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</si>
  <si>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Red</t>
  </si>
  <si>
    <t>G1: க meat ட ன ஸ த றத ர rprabhu bullettuupandi</t>
  </si>
  <si>
    <t>G2: meat vitro mosa</t>
  </si>
  <si>
    <t>G3: good think</t>
  </si>
  <si>
    <t>G5: definitely</t>
  </si>
  <si>
    <t>Edge Weight▓1▓2▓0▓True▓Green▓Red▓▓Edge Weight▓1▓1▓0▓3▓10▓False▓Edge Weight▓1▓2▓0▓32▓6▓False▓▓0▓0▓0▓True▓Black▓Black▓▓Followers▓67▓12254▓0▓162▓1000▓False▓▓0▓0▓0▓0▓0▓False▓▓0▓0▓0▓0▓0▓False▓▓0▓0▓0▓0▓0▓False</t>
  </si>
  <si>
    <t>Subgraph</t>
  </si>
  <si>
    <t>GraphSource░TwitterSearch▓GraphTerm░vitro meat▓ImportDescription░The graph represents a network of 38 Twitter users whose recent tweets contained "vitro meat", or who were replied to or mentioned in those tweets, taken from a data set limited to a maximum of 18,000 tweets.  The network was obtained from Twitter on Tuesday, 12 October 2021 at 21:46 UTC.
The tweets in the network were tweeted over the 7-day, 10-hour, 30-minute period from Tuesday, 05 October 2021 at 06:44 UTC to Tuesday, 12 October 2021 at 17:14 UTC.
There is an edge for each "replies-to" relationship in a tweet, an edge for each "mentions" relationship in a tweet, and a self-loop edge for each tweet that is not a "replies-to" or "mentions".▓ImportSuggestedTitle░vitro meat Twitter NodeXL SNA Map and Report for Tuesday, 12 October 2021 at 21:46 UTC▓ImportSuggestedFileNameNoExtension░2021-10-12 21-46-30 NodeXL Twitter Search vitro meat▓GroupingDescription░The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</si>
  <si>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</si>
  <si>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</si>
  <si>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</si>
  <si>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</si>
  <si>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</si>
  <si>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</si>
  <si>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</si>
  <si>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</si>
  <si>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</si>
  <si>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</si>
  <si>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</si>
  <si>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</si>
  <si>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</si>
  <si>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</si>
  <si>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</si>
  <si>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</si>
  <si>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</si>
  <si>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vitro meat</t>
  </si>
  <si>
    <t>The graph represents a network of 38 Twitter users whose recent tweets contained "vitro meat", or who were replied to or mentioned in those tweets, taken from a data set limited to a maximum of 18,000 tweets.  The network was obtained from Twitter on Tuesday, 12 October 2021 at 21:46 UTC.
The tweets in the network were tweeted over the 7-day, 10-hour, 30-minute period from Tuesday, 05 October 2021 at 06:44 UTC to Tuesday, 12 October 2021 at 17:14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</si>
  <si>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</si>
  <si>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</si>
  <si>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https://nodexlgraphgallery.org/Pages/Graph.aspx?graphID=264398</t>
  </si>
  <si>
    <t>https://nodexlgraphgallery.org/Images/Image.ashx?graphID=264398&amp;type=f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</si>
</sst>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4"/>
      <tableStyleElement type="headerRow" dxfId="423"/>
    </tableStyle>
    <tableStyle name="NodeXL Table" pivot="0" count="1">
      <tableStyleElement type="headerRow" dxfId="4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58983"/>
        <c:axId val="3659936"/>
      </c:barChart>
      <c:catAx>
        <c:axId val="60058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9936"/>
        <c:crosses val="autoZero"/>
        <c:auto val="1"/>
        <c:lblOffset val="100"/>
        <c:noMultiLvlLbl val="0"/>
      </c:catAx>
      <c:valAx>
        <c:axId val="3659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8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vitro meat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10/5/2021 6:44</c:v>
                </c:pt>
                <c:pt idx="1">
                  <c:v>10/5/2021 13:49</c:v>
                </c:pt>
                <c:pt idx="2">
                  <c:v>10/5/2021 14:53</c:v>
                </c:pt>
                <c:pt idx="3">
                  <c:v>10/7/2021 21:06</c:v>
                </c:pt>
                <c:pt idx="4">
                  <c:v>10/8/2021 23:12</c:v>
                </c:pt>
                <c:pt idx="5">
                  <c:v>10/9/2021 16:41</c:v>
                </c:pt>
                <c:pt idx="6">
                  <c:v>10/9/2021 17:00</c:v>
                </c:pt>
                <c:pt idx="7">
                  <c:v>10/10/2021 14:36</c:v>
                </c:pt>
                <c:pt idx="8">
                  <c:v>10/12/2021 5:05</c:v>
                </c:pt>
                <c:pt idx="9">
                  <c:v>10/12/2021 17:14</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43267057"/>
        <c:axId val="53859194"/>
      </c:barChart>
      <c:catAx>
        <c:axId val="43267057"/>
        <c:scaling>
          <c:orientation val="minMax"/>
        </c:scaling>
        <c:axPos val="b"/>
        <c:delete val="0"/>
        <c:numFmt formatCode="General" sourceLinked="1"/>
        <c:majorTickMark val="out"/>
        <c:minorTickMark val="none"/>
        <c:tickLblPos val="nextTo"/>
        <c:crossAx val="53859194"/>
        <c:crosses val="autoZero"/>
        <c:auto val="1"/>
        <c:lblOffset val="100"/>
        <c:noMultiLvlLbl val="0"/>
      </c:catAx>
      <c:valAx>
        <c:axId val="53859194"/>
        <c:scaling>
          <c:orientation val="minMax"/>
        </c:scaling>
        <c:axPos val="l"/>
        <c:majorGridlines/>
        <c:delete val="0"/>
        <c:numFmt formatCode="General" sourceLinked="1"/>
        <c:majorTickMark val="out"/>
        <c:minorTickMark val="none"/>
        <c:tickLblPos val="nextTo"/>
        <c:crossAx val="43267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39425"/>
        <c:axId val="28019370"/>
      </c:barChart>
      <c:catAx>
        <c:axId val="32939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19370"/>
        <c:crosses val="autoZero"/>
        <c:auto val="1"/>
        <c:lblOffset val="100"/>
        <c:noMultiLvlLbl val="0"/>
      </c:catAx>
      <c:valAx>
        <c:axId val="28019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47739"/>
        <c:axId val="54976468"/>
      </c:barChart>
      <c:catAx>
        <c:axId val="50847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76468"/>
        <c:crosses val="autoZero"/>
        <c:auto val="1"/>
        <c:lblOffset val="100"/>
        <c:noMultiLvlLbl val="0"/>
      </c:catAx>
      <c:valAx>
        <c:axId val="5497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26165"/>
        <c:axId val="23908894"/>
      </c:barChart>
      <c:catAx>
        <c:axId val="2502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908894"/>
        <c:crosses val="autoZero"/>
        <c:auto val="1"/>
        <c:lblOffset val="100"/>
        <c:noMultiLvlLbl val="0"/>
      </c:catAx>
      <c:valAx>
        <c:axId val="2390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2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53455"/>
        <c:axId val="57572232"/>
      </c:barChart>
      <c:catAx>
        <c:axId val="13853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72232"/>
        <c:crosses val="autoZero"/>
        <c:auto val="1"/>
        <c:lblOffset val="100"/>
        <c:noMultiLvlLbl val="0"/>
      </c:catAx>
      <c:valAx>
        <c:axId val="57572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3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88041"/>
        <c:axId val="32839186"/>
      </c:barChart>
      <c:catAx>
        <c:axId val="48388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39186"/>
        <c:crosses val="autoZero"/>
        <c:auto val="1"/>
        <c:lblOffset val="100"/>
        <c:noMultiLvlLbl val="0"/>
      </c:catAx>
      <c:valAx>
        <c:axId val="3283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17219"/>
        <c:axId val="42728380"/>
      </c:barChart>
      <c:catAx>
        <c:axId val="271172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28380"/>
        <c:crosses val="autoZero"/>
        <c:auto val="1"/>
        <c:lblOffset val="100"/>
        <c:noMultiLvlLbl val="0"/>
      </c:catAx>
      <c:valAx>
        <c:axId val="42728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011101"/>
        <c:axId val="38446726"/>
      </c:barChart>
      <c:catAx>
        <c:axId val="49011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46726"/>
        <c:crosses val="autoZero"/>
        <c:auto val="1"/>
        <c:lblOffset val="100"/>
        <c:noMultiLvlLbl val="0"/>
      </c:catAx>
      <c:valAx>
        <c:axId val="38446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476215"/>
        <c:axId val="27177072"/>
      </c:barChart>
      <c:catAx>
        <c:axId val="10476215"/>
        <c:scaling>
          <c:orientation val="minMax"/>
        </c:scaling>
        <c:axPos val="b"/>
        <c:delete val="1"/>
        <c:majorTickMark val="out"/>
        <c:minorTickMark val="none"/>
        <c:tickLblPos val="none"/>
        <c:crossAx val="27177072"/>
        <c:crosses val="autoZero"/>
        <c:auto val="1"/>
        <c:lblOffset val="100"/>
        <c:noMultiLvlLbl val="0"/>
      </c:catAx>
      <c:valAx>
        <c:axId val="27177072"/>
        <c:scaling>
          <c:orientation val="minMax"/>
        </c:scaling>
        <c:axPos val="l"/>
        <c:delete val="1"/>
        <c:majorTickMark val="out"/>
        <c:minorTickMark val="none"/>
        <c:tickLblPos val="none"/>
        <c:crossAx val="104762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oph8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arbkis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crittheoryb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ordanross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kat_tot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aturaiz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ssbalu646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raaga3128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adhiga_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ar_the_nom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ankutty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ivaroobini55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kkol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gopalanvs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ganesanpan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ungalnanb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aravanansiva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krishnananban5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bkanniga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ri_sri_y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shaktivel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elvakumar_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rmathimath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aha_simh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rjk2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arjeekaykann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evenge196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harisri21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rinivasan190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vibhu_prabh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bullettuupand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prabh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deitygala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hilton_phili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bbcfarmingtoda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rrysheerma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jumz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yaronsam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Doc Assar" refreshedVersion="7">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leoygöeem invitromeat"/>
        <s v="mp labourparty vitro beef laboratory farming farmerprotest farm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10-05T06:44:24.000"/>
        <d v="2021-10-05T13:49:04.000"/>
        <d v="2021-10-05T14:53:01.000"/>
        <d v="2021-10-07T21:06:10.000"/>
        <d v="2021-10-08T23:12:20.000"/>
        <d v="2021-10-09T16:41:04.000"/>
        <d v="2021-10-09T17:00:34.000"/>
        <d v="2021-10-10T14:36:06.000"/>
        <d v="2021-10-12T05:05:29.000"/>
        <d v="2021-10-12T17:14: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24389693"/>
    </ext>
  </extLst>
</pivotCacheDefinition>
</file>

<file path=xl/pivotCache/pivotCacheRecords1.xml><?xml version="1.0" encoding="utf-8"?>
<pivotCacheRecords xmlns="http://schemas.openxmlformats.org/spreadsheetml/2006/main" xmlns:r="http://schemas.openxmlformats.org/officeDocument/2006/relationships" count="10">
  <r>
    <s v="soph8b"/>
    <s v="soph8b"/>
    <m/>
    <m/>
    <m/>
    <m/>
    <m/>
    <m/>
    <m/>
    <m/>
    <s v="No"/>
    <n v="3"/>
    <m/>
    <m/>
    <x v="0"/>
    <d v="2021-10-05T06:44:24.000"/>
    <s v="I wonder how many of those who are adamant that meat (ie. protein &amp;amp; fat) simply cannot be meat if it's manufactured in vitro (as opposed to in a uterus)....nonetheless firmly believe that minds will one day be uploadable."/>
    <m/>
    <m/>
    <x v="0"/>
    <m/>
    <s v="https://pbs.twimg.com/profile_images/1288065477722296321/837TwWoE_normal.jpg"/>
    <x v="0"/>
    <d v="2021-10-05T00:00:00.000"/>
    <s v="06:44:24"/>
    <s v="https://twitter.com/soph8b/status/1445278680473751555"/>
    <m/>
    <m/>
    <s v="1445278680473751555"/>
    <m/>
    <b v="0"/>
    <n v="2"/>
    <s v=""/>
    <b v="0"/>
    <s v="en"/>
    <m/>
    <s v=""/>
    <b v="0"/>
    <n v="0"/>
    <s v=""/>
    <s v="Twitter Web App"/>
    <b v="0"/>
    <s v="1445278680473751555"/>
    <s v="Tweet"/>
    <n v="0"/>
    <n v="0"/>
    <m/>
    <m/>
    <m/>
    <m/>
    <m/>
    <m/>
    <m/>
    <m/>
    <n v="1"/>
    <s v="2"/>
    <s v="2"/>
    <n v="1"/>
    <n v="2.5"/>
    <n v="2"/>
    <n v="5"/>
    <n v="0"/>
    <n v="0"/>
    <n v="37"/>
    <n v="92.5"/>
    <n v="40"/>
  </r>
  <r>
    <s v="barbkiser"/>
    <s v="barbkiser"/>
    <m/>
    <m/>
    <m/>
    <m/>
    <m/>
    <m/>
    <m/>
    <m/>
    <s v="No"/>
    <n v="4"/>
    <m/>
    <m/>
    <x v="0"/>
    <d v="2021-10-05T13:49:04.000"/>
    <s v="In vitro meat is effectively slaughter-based too. It's still largely reliant on foetal bovine serum harvested from the blood of foetuses, excised from slaughtered cows. https://t.co/XkmQMrKq6h"/>
    <s v="https://twitter.com/jan_dutkiewicz/status/1445374355656085509"/>
    <s v="twitter.com"/>
    <x v="0"/>
    <m/>
    <s v="https://pbs.twimg.com/profile_images/1069637128370483201/BuXpxCEV_normal.jpg"/>
    <x v="1"/>
    <d v="2021-10-05T00:00:00.000"/>
    <s v="13:49:04"/>
    <s v="https://twitter.com/barbkiser/status/1445385554502328340"/>
    <m/>
    <m/>
    <s v="1445385554502328340"/>
    <m/>
    <b v="0"/>
    <n v="1"/>
    <s v=""/>
    <b v="1"/>
    <s v="en"/>
    <m/>
    <s v="1445374355656085509"/>
    <b v="0"/>
    <n v="0"/>
    <s v=""/>
    <s v="Twitter Web App"/>
    <b v="0"/>
    <s v="1445385554502328340"/>
    <s v="Tweet"/>
    <n v="0"/>
    <n v="0"/>
    <m/>
    <m/>
    <m/>
    <m/>
    <m/>
    <m/>
    <m/>
    <m/>
    <n v="2"/>
    <s v="2"/>
    <s v="2"/>
    <n v="1"/>
    <n v="3.8461538461538463"/>
    <n v="2"/>
    <n v="7.6923076923076925"/>
    <n v="0"/>
    <n v="0"/>
    <n v="23"/>
    <n v="88.46153846153847"/>
    <n v="26"/>
  </r>
  <r>
    <s v="barbkiser"/>
    <s v="barbkiser"/>
    <m/>
    <m/>
    <m/>
    <m/>
    <m/>
    <m/>
    <m/>
    <m/>
    <s v="No"/>
    <n v="5"/>
    <m/>
    <m/>
    <x v="0"/>
    <d v="2021-10-05T14:53:01.000"/>
    <s v="My question was about who's doing this now.  _x000a_Mosa Meat was begun by Mark Post, who created the first in vitro burger. I'm familiar with it. Mosa doesn’t have a timeframe for approval or availability in supermarkets and doesn't have a cost estimate. https://t.co/Ie2vjYH6ax"/>
    <s v="https://twitter.com/chill_purr/status/1445387585745006610"/>
    <s v="twitter.com"/>
    <x v="0"/>
    <m/>
    <s v="https://pbs.twimg.com/profile_images/1069637128370483201/BuXpxCEV_normal.jpg"/>
    <x v="2"/>
    <d v="2021-10-05T00:00:00.000"/>
    <s v="14:53:01"/>
    <s v="https://twitter.com/barbkiser/status/1445401647669202957"/>
    <m/>
    <m/>
    <s v="1445401647669202957"/>
    <m/>
    <b v="0"/>
    <n v="0"/>
    <s v=""/>
    <b v="1"/>
    <s v="en"/>
    <m/>
    <s v="1445387585745006610"/>
    <b v="0"/>
    <n v="0"/>
    <s v=""/>
    <s v="Twitter Web App"/>
    <b v="0"/>
    <s v="1445401647669202957"/>
    <s v="Tweet"/>
    <n v="0"/>
    <n v="0"/>
    <m/>
    <m/>
    <m/>
    <m/>
    <m/>
    <m/>
    <m/>
    <m/>
    <n v="2"/>
    <s v="2"/>
    <s v="2"/>
    <n v="1"/>
    <n v="2.272727272727273"/>
    <n v="0"/>
    <n v="0"/>
    <n v="0"/>
    <n v="0"/>
    <n v="43"/>
    <n v="97.72727272727273"/>
    <n v="44"/>
  </r>
  <r>
    <s v="crittheorybot"/>
    <s v="crittheorybot"/>
    <m/>
    <m/>
    <m/>
    <m/>
    <m/>
    <m/>
    <m/>
    <m/>
    <s v="No"/>
    <n v="6"/>
    <m/>
    <m/>
    <x v="0"/>
    <d v="2021-10-07T21:06:10.000"/>
    <s v="Texas Country Reporter and Les Nabis: Towards a Biopsychology of In Vitro Meat"/>
    <m/>
    <m/>
    <x v="0"/>
    <m/>
    <s v="https://pbs.twimg.com/profile_images/946978016839720963/oGMSwGhV_normal.jpg"/>
    <x v="3"/>
    <d v="2021-10-07T00:00:00.000"/>
    <s v="21:06:10"/>
    <s v="https://twitter.com/crittheorybot/status/1446220327734886405"/>
    <m/>
    <m/>
    <s v="1446220327734886405"/>
    <m/>
    <b v="0"/>
    <n v="0"/>
    <s v=""/>
    <b v="0"/>
    <s v="en"/>
    <m/>
    <s v=""/>
    <b v="0"/>
    <n v="0"/>
    <s v=""/>
    <s v="Cheap Bots, Done Quick!"/>
    <b v="0"/>
    <s v="1446220327734886405"/>
    <s v="Tweet"/>
    <n v="0"/>
    <n v="0"/>
    <m/>
    <m/>
    <m/>
    <m/>
    <m/>
    <m/>
    <m/>
    <m/>
    <n v="1"/>
    <s v="2"/>
    <s v="2"/>
    <n v="0"/>
    <n v="0"/>
    <n v="0"/>
    <n v="0"/>
    <n v="0"/>
    <n v="0"/>
    <n v="13"/>
    <n v="100"/>
    <n v="13"/>
  </r>
  <r>
    <s v="jordanrossmedia"/>
    <s v="kat_toth"/>
    <m/>
    <m/>
    <m/>
    <m/>
    <m/>
    <m/>
    <m/>
    <m/>
    <s v="No"/>
    <n v="7"/>
    <m/>
    <m/>
    <x v="1"/>
    <d v="2021-10-08T23:12:20.000"/>
    <s v="@kat_toth Yeah + cultured/in vitro meat is definitely controversial among even ethical vegans unfortunately. Will definitely check out your segment!"/>
    <m/>
    <m/>
    <x v="0"/>
    <m/>
    <s v="https://pbs.twimg.com/profile_images/1420534073571700740/RkGo6Y0a_normal.jpg"/>
    <x v="4"/>
    <d v="2021-10-08T00:00:00.000"/>
    <s v="23:12:20"/>
    <s v="https://twitter.com/jordanrossmedia/status/1446614468616613888"/>
    <m/>
    <m/>
    <s v="1446614468616613888"/>
    <s v="1446613934195101699"/>
    <b v="0"/>
    <n v="1"/>
    <s v="204946416"/>
    <b v="0"/>
    <s v="en"/>
    <m/>
    <s v=""/>
    <b v="0"/>
    <n v="0"/>
    <s v=""/>
    <s v="Twitter for Android"/>
    <b v="0"/>
    <s v="1446613934195101699"/>
    <s v="Tweet"/>
    <n v="0"/>
    <n v="0"/>
    <m/>
    <m/>
    <m/>
    <m/>
    <m/>
    <m/>
    <m/>
    <m/>
    <n v="1"/>
    <s v="5"/>
    <s v="5"/>
    <n v="1"/>
    <n v="5"/>
    <n v="2"/>
    <n v="10"/>
    <n v="0"/>
    <n v="0"/>
    <n v="17"/>
    <n v="85"/>
    <n v="20"/>
  </r>
  <r>
    <s v="naturaize"/>
    <s v="ssbalu6465"/>
    <m/>
    <m/>
    <m/>
    <m/>
    <m/>
    <m/>
    <m/>
    <m/>
    <s v="No"/>
    <n v="8"/>
    <m/>
    <m/>
    <x v="2"/>
    <d v="2021-10-09T16:41:04.000"/>
    <s v="@rprabhu @bullettuupandi @vibhu_prabhu @srinivasan19041 @HariSri213 @revenge1967 @aarjeekaykannan @srjk22 @maha_simha @drmathimaths @Selvakumar_IN @shaktivel2 @Sri_Sri_yd @BKannigaa @krishnananban55 @Saravanansivans @ungalnanbar @GanesanPant @GopalanVs2 @makkolam @SivaRoobini555 @Pankutty1 @raaga31280 @par_the_nomad @Radhiga_v @ssbalu6465 இதில் பல டெக்னிக்ஸ் உள்ளன..!_x000a_Soybean ன் DNA coding sequence ஐ உபயோகப்படுத்தும்.._x000a_Plant based meat ..:_x000a_Beyond Meat .._x000a_Impossible Foods..!_x000a_மற்றது lab grown .. in vitro .._x000a_Cultured meat..!_x000a_ஆக்ஸ்போர்ட் ரிசர்ச் 99% less space than for current livestock farming என்கிறது.! https://t.co/09H9tsG3K7"/>
    <m/>
    <m/>
    <x v="0"/>
    <s v="https://pbs.twimg.com/media/FBRYOanX0AQOhR2.jpg"/>
    <s v="https://pbs.twimg.com/media/FBRYOanX0AQOhR2.jpg"/>
    <x v="5"/>
    <d v="2021-10-09T00:00:00.000"/>
    <s v="16:41:04"/>
    <s v="https://twitter.com/naturaize/status/1446878389135106054"/>
    <m/>
    <m/>
    <s v="1446878389135106054"/>
    <s v="1446867094419640327"/>
    <b v="0"/>
    <n v="6"/>
    <s v="15466678"/>
    <b v="0"/>
    <s v="et"/>
    <m/>
    <s v=""/>
    <b v="0"/>
    <n v="1"/>
    <s v=""/>
    <s v="Twitter for iPhone"/>
    <b v="0"/>
    <s v="1446867094419640327"/>
    <s v="Tweet"/>
    <n v="0"/>
    <n v="0"/>
    <m/>
    <m/>
    <m/>
    <m/>
    <m/>
    <m/>
    <m/>
    <m/>
    <n v="1"/>
    <s v="1"/>
    <s v="1"/>
    <m/>
    <m/>
    <m/>
    <m/>
    <m/>
    <m/>
    <m/>
    <m/>
    <m/>
  </r>
  <r>
    <s v="raaga31280"/>
    <s v="ssbalu6465"/>
    <m/>
    <m/>
    <m/>
    <m/>
    <m/>
    <m/>
    <m/>
    <m/>
    <s v="No"/>
    <n v="9"/>
    <m/>
    <m/>
    <x v="3"/>
    <d v="2021-10-09T17:00:34.000"/>
    <s v="@rprabhu @bullettuupandi @vibhu_prabhu @srinivasan19041 @HariSri213 @revenge1967 @aarjeekaykannan @srjk22 @maha_simha @drmathimaths @Selvakumar_IN @shaktivel2 @Sri_Sri_yd @BKannigaa @krishnananban55 @Saravanansivans @ungalnanbar @GanesanPant @GopalanVs2 @makkolam @SivaRoobini555 @Pankutty1 @raaga31280 @par_the_nomad @Radhiga_v @ssbalu6465 இதில் பல டெக்னிக்ஸ் உள்ளன..!_x000a_Soybean ன் DNA coding sequence ஐ உபயோகப்படுத்தும்.._x000a_Plant based meat ..:_x000a_Beyond Meat .._x000a_Impossible Foods..!_x000a_மற்றது lab grown .. in vitro .._x000a_Cultured meat..!_x000a_ஆக்ஸ்போர்ட் ரிசர்ச் 99% less space than for current livestock farming என்கிறது.! https://t.co/09H9tsG3K7"/>
    <m/>
    <m/>
    <x v="0"/>
    <s v="https://pbs.twimg.com/media/FBRYOanX0AQOhR2.jpg"/>
    <s v="https://pbs.twimg.com/media/FBRYOanX0AQOhR2.jpg"/>
    <x v="6"/>
    <d v="2021-10-09T00:00:00.000"/>
    <s v="17:00:34"/>
    <s v="https://twitter.com/raaga31280/status/1446883298274250754"/>
    <m/>
    <m/>
    <s v="1446883298274250754"/>
    <m/>
    <b v="0"/>
    <n v="0"/>
    <s v=""/>
    <b v="0"/>
    <s v="et"/>
    <m/>
    <s v=""/>
    <b v="0"/>
    <n v="1"/>
    <s v="1446878389135106054"/>
    <s v="Twitter for Android"/>
    <b v="0"/>
    <s v="1446878389135106054"/>
    <s v="Tweet"/>
    <n v="0"/>
    <n v="0"/>
    <m/>
    <m/>
    <m/>
    <m/>
    <m/>
    <m/>
    <m/>
    <m/>
    <n v="1"/>
    <s v="1"/>
    <s v="1"/>
    <m/>
    <m/>
    <m/>
    <m/>
    <m/>
    <m/>
    <m/>
    <m/>
    <m/>
  </r>
  <r>
    <s v="deitygalaxy"/>
    <s v="deitygalaxy"/>
    <m/>
    <m/>
    <m/>
    <m/>
    <m/>
    <m/>
    <m/>
    <m/>
    <s v="No"/>
    <n v="60"/>
    <m/>
    <m/>
    <x v="0"/>
    <d v="2021-10-10T14:36:06.000"/>
    <s v="Cleoy'göeem, most evil god of in vitro meat, needs you to &quot;embiggen The Bildeborg&quot;. #Cleoygöeem #inVitroMeat"/>
    <m/>
    <m/>
    <x v="1"/>
    <m/>
    <s v="https://pbs.twimg.com/profile_images/973676208796860416/LXmaaDQY_normal.jpg"/>
    <x v="7"/>
    <d v="2021-10-10T00:00:00.000"/>
    <s v="14:36:06"/>
    <s v="https://twitter.com/deitygalaxy/status/1447209327442468865"/>
    <m/>
    <m/>
    <s v="1447209327442468865"/>
    <m/>
    <b v="0"/>
    <n v="0"/>
    <s v=""/>
    <b v="0"/>
    <s v="en"/>
    <m/>
    <s v=""/>
    <b v="0"/>
    <n v="0"/>
    <s v=""/>
    <s v="deitygalaxy"/>
    <b v="0"/>
    <s v="1447209327442468865"/>
    <s v="Tweet"/>
    <n v="0"/>
    <n v="0"/>
    <m/>
    <m/>
    <m/>
    <m/>
    <m/>
    <m/>
    <m/>
    <m/>
    <n v="1"/>
    <s v="2"/>
    <s v="2"/>
    <n v="0"/>
    <n v="0"/>
    <n v="1"/>
    <n v="6.25"/>
    <n v="0"/>
    <n v="0"/>
    <n v="15"/>
    <n v="93.75"/>
    <n v="16"/>
  </r>
  <r>
    <s v="hilton_philip"/>
    <s v="bbcfarmingtoday"/>
    <m/>
    <m/>
    <m/>
    <m/>
    <m/>
    <m/>
    <m/>
    <m/>
    <s v="No"/>
    <n v="61"/>
    <m/>
    <m/>
    <x v="2"/>
    <d v="2021-10-12T05:05:29.000"/>
    <s v="@BarrySheerman @BBCFarmingToday Good morning Sir #MP Barry #LabourParty what do you think of #vitro #beef that’s been grown in #laboratory ? They say it is the future of #farming #FarmerProtest #Farmers does it have a dark side?or will it be the answer in the meat eating world what do you think? Good or bad? https://t.co/etknvTuXtD"/>
    <m/>
    <m/>
    <x v="2"/>
    <s v="https://pbs.twimg.com/media/FBeVyh5XoAUewJp.jpg"/>
    <s v="https://pbs.twimg.com/media/FBeVyh5XoAUewJp.jpg"/>
    <x v="8"/>
    <d v="2021-10-12T00:00:00.000"/>
    <s v="05:05:29"/>
    <s v="https://twitter.com/hilton_philip/status/1447790506075885568"/>
    <m/>
    <m/>
    <s v="1447790506075885568"/>
    <s v="1447787518661902336"/>
    <b v="0"/>
    <n v="0"/>
    <s v="250091875"/>
    <b v="0"/>
    <s v="en"/>
    <m/>
    <s v=""/>
    <b v="0"/>
    <n v="0"/>
    <s v=""/>
    <s v="Twitter for iPhone"/>
    <b v="0"/>
    <s v="1447787518661902336"/>
    <s v="Tweet"/>
    <n v="0"/>
    <n v="0"/>
    <m/>
    <m/>
    <m/>
    <m/>
    <m/>
    <m/>
    <m/>
    <m/>
    <n v="1"/>
    <s v="3"/>
    <s v="3"/>
    <m/>
    <m/>
    <m/>
    <m/>
    <m/>
    <m/>
    <m/>
    <m/>
    <m/>
  </r>
  <r>
    <s v="ajumzu"/>
    <s v="yaronsamid"/>
    <m/>
    <m/>
    <m/>
    <m/>
    <m/>
    <m/>
    <m/>
    <m/>
    <s v="No"/>
    <n v="63"/>
    <m/>
    <m/>
    <x v="1"/>
    <d v="2021-10-12T17:14:51.000"/>
    <s v="@yaronsamid I think in vitro meat and fish is inevitable for future's world nutrition. Habits and traditional dishes of billions will hardly change to vegan, even with the evident implications on climate and biodiversity."/>
    <m/>
    <m/>
    <x v="0"/>
    <m/>
    <s v="https://pbs.twimg.com/profile_images/1428396752495861765/dWSH_W-8_normal.jpg"/>
    <x v="9"/>
    <d v="2021-10-12T00:00:00.000"/>
    <s v="17:14:51"/>
    <s v="https://twitter.com/ajumzu/status/1447974055106252807"/>
    <m/>
    <m/>
    <s v="1447974055106252807"/>
    <s v="1447964514868137995"/>
    <b v="0"/>
    <n v="0"/>
    <s v="41143"/>
    <b v="0"/>
    <s v="en"/>
    <m/>
    <s v=""/>
    <b v="0"/>
    <n v="0"/>
    <s v=""/>
    <s v="Twitter for Android"/>
    <b v="0"/>
    <s v="1447964514868137995"/>
    <s v="Tweet"/>
    <n v="0"/>
    <n v="0"/>
    <m/>
    <m/>
    <m/>
    <m/>
    <m/>
    <m/>
    <m/>
    <m/>
    <n v="1"/>
    <s v="4"/>
    <s v="4"/>
    <n v="0"/>
    <n v="0"/>
    <n v="1"/>
    <n v="2.9411764705882355"/>
    <n v="0"/>
    <n v="0"/>
    <n v="33"/>
    <n v="97.05882352941177"/>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024389693">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024389693">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21" dataDxfId="420">
  <autoFilter ref="A2:BN63"/>
  <tableColumns count="66">
    <tableColumn id="1" name="Vertex 1" dataDxfId="370"/>
    <tableColumn id="2" name="Vertex 2" dataDxfId="368"/>
    <tableColumn id="3" name="Color" dataDxfId="369"/>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74"/>
    <tableColumn id="7" name="ID" dataDxfId="412"/>
    <tableColumn id="9" name="Dynamic Filter" dataDxfId="411"/>
    <tableColumn id="8" name="Add Your Own Columns Here" dataDxfId="367"/>
    <tableColumn id="15" name="Relationship" dataDxfId="366"/>
    <tableColumn id="16" name="Relationship Date (UTC)" dataDxfId="365"/>
    <tableColumn id="17" name="Tweet" dataDxfId="364"/>
    <tableColumn id="18" name="URLs in Tweet" dataDxfId="363"/>
    <tableColumn id="19" name="Domains in Tweet" dataDxfId="362"/>
    <tableColumn id="20" name="Hashtags in Tweet" dataDxfId="361"/>
    <tableColumn id="21" name="Media in Tweet" dataDxfId="360"/>
    <tableColumn id="22" name="Tweet Image File" dataDxfId="359"/>
    <tableColumn id="23" name="Tweet Date (UTC)" dataDxfId="358"/>
    <tableColumn id="24" name="Date" dataDxfId="357"/>
    <tableColumn id="25" name="Time" dataDxfId="356"/>
    <tableColumn id="26" name="Twitter Page for Tweet" dataDxfId="355"/>
    <tableColumn id="27" name="Latitude" dataDxfId="354"/>
    <tableColumn id="28" name="Longitude" dataDxfId="353"/>
    <tableColumn id="29" name="Imported ID" dataDxfId="352"/>
    <tableColumn id="30" name="In-Reply-To Tweet ID" dataDxfId="351"/>
    <tableColumn id="31" name="Favorited" dataDxfId="350"/>
    <tableColumn id="32" name="Favorite Count" dataDxfId="349"/>
    <tableColumn id="33" name="In-Reply-To User ID" dataDxfId="348"/>
    <tableColumn id="34" name="Is Quote Status" dataDxfId="347"/>
    <tableColumn id="35" name="Language" dataDxfId="346"/>
    <tableColumn id="36" name="Possibly Sensitive" dataDxfId="345"/>
    <tableColumn id="37" name="Quoted Status ID" dataDxfId="344"/>
    <tableColumn id="38" name="Retweeted" dataDxfId="343"/>
    <tableColumn id="39" name="Retweet Count" dataDxfId="342"/>
    <tableColumn id="40" name="Retweet ID" dataDxfId="341"/>
    <tableColumn id="41" name="Source" dataDxfId="340"/>
    <tableColumn id="42" name="Truncated" dataDxfId="339"/>
    <tableColumn id="43" name="Unified Twitter ID" dataDxfId="338"/>
    <tableColumn id="44" name="Imported Tweet Type" dataDxfId="337"/>
    <tableColumn id="45" name="Added By Extended Analysis" dataDxfId="336"/>
    <tableColumn id="46" name="Corrected By Extended Analysis" dataDxfId="335"/>
    <tableColumn id="47" name="Place Bounding Box" dataDxfId="334"/>
    <tableColumn id="48" name="Place Country" dataDxfId="333"/>
    <tableColumn id="49" name="Place Country Code" dataDxfId="332"/>
    <tableColumn id="50" name="Place Full Name" dataDxfId="331"/>
    <tableColumn id="51" name="Place ID" dataDxfId="330"/>
    <tableColumn id="52" name="Place Name" dataDxfId="329"/>
    <tableColumn id="53" name="Place Type" dataDxfId="328"/>
    <tableColumn id="54" name="Place URL" dataDxfId="327"/>
    <tableColumn id="55" name="Edge Weight"/>
    <tableColumn id="56" name="Vertex 1 Group" dataDxfId="28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3" totalsRowShown="0" headerRowDxfId="273" dataDxfId="272">
  <autoFilter ref="A1:L3"/>
  <tableColumns count="12">
    <tableColumn id="1" name="Top URLs in Tweet in Entire Graph" dataDxfId="271"/>
    <tableColumn id="2" name="Entire Graph Count" dataDxfId="270"/>
    <tableColumn id="3" name="Top URLs in Tweet in G1" dataDxfId="269"/>
    <tableColumn id="4" name="G1 Count" dataDxfId="268"/>
    <tableColumn id="5" name="Top URLs in Tweet in G2" dataDxfId="267"/>
    <tableColumn id="6" name="G2 Count" dataDxfId="266"/>
    <tableColumn id="7" name="Top URLs in Tweet in G3" dataDxfId="265"/>
    <tableColumn id="8" name="G3 Count" dataDxfId="264"/>
    <tableColumn id="9" name="Top URLs in Tweet in G4" dataDxfId="263"/>
    <tableColumn id="10" name="G4 Count" dataDxfId="262"/>
    <tableColumn id="11" name="Top URLs in Tweet in G5" dataDxfId="261"/>
    <tableColumn id="12" name="G5 Count" dataDxfId="2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L7" totalsRowShown="0" headerRowDxfId="258" dataDxfId="257">
  <autoFilter ref="A6:L7"/>
  <tableColumns count="12">
    <tableColumn id="1" name="Top Domains in Tweet in Entire Graph" dataDxfId="256"/>
    <tableColumn id="2" name="Entire Graph Count" dataDxfId="255"/>
    <tableColumn id="3" name="Top Domains in Tweet in G1" dataDxfId="254"/>
    <tableColumn id="4" name="G1 Count" dataDxfId="253"/>
    <tableColumn id="5" name="Top Domains in Tweet in G2" dataDxfId="252"/>
    <tableColumn id="6" name="G2 Count" dataDxfId="251"/>
    <tableColumn id="7" name="Top Domains in Tweet in G3" dataDxfId="250"/>
    <tableColumn id="8" name="G3 Count" dataDxfId="249"/>
    <tableColumn id="9" name="Top Domains in Tweet in G4" dataDxfId="248"/>
    <tableColumn id="10" name="G4 Count" dataDxfId="247"/>
    <tableColumn id="11" name="Top Domains in Tweet in G5" dataDxfId="246"/>
    <tableColumn id="12" name="G5 Count" dataDxfId="24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L20" totalsRowShown="0" headerRowDxfId="243" dataDxfId="242">
  <autoFilter ref="A10:L20"/>
  <tableColumns count="1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3:L33" totalsRowShown="0" headerRowDxfId="228" dataDxfId="227">
  <autoFilter ref="A23:L33"/>
  <tableColumns count="12">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6:L46" totalsRowShown="0" headerRowDxfId="213" dataDxfId="212">
  <autoFilter ref="A36:L46"/>
  <tableColumns count="12">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 id="11" name="Top Word Pairs in Tweet in G5" dataDxfId="201"/>
    <tableColumn id="12" name="G5 Count" dataDxfId="2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9:L53" totalsRowShown="0" headerRowDxfId="198" dataDxfId="197">
  <autoFilter ref="A49:L53"/>
  <tableColumns count="12">
    <tableColumn id="1" name="Top Replied-To in Entire Graph" dataDxfId="196"/>
    <tableColumn id="2" name="Entire Graph Count" dataDxfId="192"/>
    <tableColumn id="3" name="Top Replied-To in G1" dataDxfId="191"/>
    <tableColumn id="4" name="G1 Count" dataDxfId="188"/>
    <tableColumn id="5" name="Top Replied-To in G2" dataDxfId="187"/>
    <tableColumn id="6" name="G2 Count" dataDxfId="184"/>
    <tableColumn id="7" name="Top Replied-To in G3" dataDxfId="183"/>
    <tableColumn id="8" name="G3 Count" dataDxfId="180"/>
    <tableColumn id="9" name="Top Replied-To in G4" dataDxfId="179"/>
    <tableColumn id="10" name="G4 Count" dataDxfId="176"/>
    <tableColumn id="11" name="Top Replied-To in G5" dataDxfId="175"/>
    <tableColumn id="12" name="G5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6:L66" totalsRowShown="0" headerRowDxfId="195" dataDxfId="194">
  <autoFilter ref="A56:L66"/>
  <tableColumns count="12">
    <tableColumn id="1" name="Top Mentioned in Entire Graph" dataDxfId="193"/>
    <tableColumn id="2" name="Entire Graph Count" dataDxfId="190"/>
    <tableColumn id="3" name="Top Mentioned in G1" dataDxfId="189"/>
    <tableColumn id="4" name="G1 Count" dataDxfId="186"/>
    <tableColumn id="5" name="Top Mentioned in G2" dataDxfId="185"/>
    <tableColumn id="6" name="G2 Count" dataDxfId="182"/>
    <tableColumn id="7" name="Top Mentioned in G3" dataDxfId="181"/>
    <tableColumn id="8" name="G3 Count" dataDxfId="178"/>
    <tableColumn id="9" name="Top Mentioned in G4" dataDxfId="177"/>
    <tableColumn id="10" name="G4 Count" dataDxfId="173"/>
    <tableColumn id="11" name="Top Mentioned in G5" dataDxfId="172"/>
    <tableColumn id="12" name="G5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9:L79" totalsRowShown="0" headerRowDxfId="168" dataDxfId="167">
  <autoFilter ref="A69:L79"/>
  <tableColumns count="12">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9" totalsRowShown="0" headerRowDxfId="143" dataDxfId="142">
  <autoFilter ref="A1:G159"/>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0" totalsRowShown="0" headerRowDxfId="410" dataDxfId="409">
  <autoFilter ref="A2:BU40"/>
  <tableColumns count="73">
    <tableColumn id="1" name="Vertex" dataDxfId="408"/>
    <tableColumn id="73" name="Subgraph"/>
    <tableColumn id="2" name="Color" dataDxfId="407"/>
    <tableColumn id="5" name="Shape" dataDxfId="406"/>
    <tableColumn id="6" name="Size" dataDxfId="405"/>
    <tableColumn id="4" name="Opacity" dataDxfId="306"/>
    <tableColumn id="7" name="Image File" dataDxfId="304"/>
    <tableColumn id="3" name="Visibility" dataDxfId="305"/>
    <tableColumn id="10" name="Label" dataDxfId="404"/>
    <tableColumn id="16" name="Label Fill Color" dataDxfId="403"/>
    <tableColumn id="9" name="Label Position" dataDxfId="300"/>
    <tableColumn id="8" name="Tooltip" dataDxfId="298"/>
    <tableColumn id="18" name="Layout Order" dataDxfId="299"/>
    <tableColumn id="13" name="X" dataDxfId="402"/>
    <tableColumn id="14" name="Y" dataDxfId="401"/>
    <tableColumn id="12" name="Locked?" dataDxfId="400"/>
    <tableColumn id="19" name="Polar R" dataDxfId="399"/>
    <tableColumn id="20" name="Polar Angle" dataDxfId="398"/>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97"/>
    <tableColumn id="28" name="Dynamic Filter" dataDxfId="396"/>
    <tableColumn id="17" name="Add Your Own Columns Here" dataDxfId="326"/>
    <tableColumn id="30" name="Name" dataDxfId="325"/>
    <tableColumn id="31" name="User ID" dataDxfId="324"/>
    <tableColumn id="32" name="Followed" dataDxfId="323"/>
    <tableColumn id="33" name="Followers" dataDxfId="322"/>
    <tableColumn id="34" name="Tweets" dataDxfId="321"/>
    <tableColumn id="35" name="Favorites" dataDxfId="320"/>
    <tableColumn id="36" name="Time Zone UTC Offset (Seconds)" dataDxfId="319"/>
    <tableColumn id="37" name="Description" dataDxfId="318"/>
    <tableColumn id="38" name="Location" dataDxfId="317"/>
    <tableColumn id="39" name="Web" dataDxfId="316"/>
    <tableColumn id="40" name="Time Zone" dataDxfId="315"/>
    <tableColumn id="41" name="Joined Twitter Date (UTC)" dataDxfId="314"/>
    <tableColumn id="42" name="Profile Banner Url" dataDxfId="313"/>
    <tableColumn id="43" name="Default Profile" dataDxfId="312"/>
    <tableColumn id="44" name="Default Profile Image" dataDxfId="311"/>
    <tableColumn id="45" name="Geo Enabled" dataDxfId="310"/>
    <tableColumn id="46" name="Language" dataDxfId="309"/>
    <tableColumn id="47" name="Listed Count" dataDxfId="308"/>
    <tableColumn id="48" name="Profile Background Image Url" dataDxfId="307"/>
    <tableColumn id="49" name="Verified" dataDxfId="303"/>
    <tableColumn id="50" name="Custom Menu Item Text" dataDxfId="302"/>
    <tableColumn id="51" name="Custom Menu Item Action" dataDxfId="301"/>
    <tableColumn id="52" name="Tweeted Search Term?" dataDxfId="290"/>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9" totalsRowShown="0" headerRowDxfId="134" dataDxfId="133">
  <autoFilter ref="A1:L159"/>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90" dataDxfId="89">
  <autoFilter ref="A2:C7"/>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95">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394"/>
    <tableColumn id="20" name="Collapsed X"/>
    <tableColumn id="21" name="Collapsed Y"/>
    <tableColumn id="6" name="ID" dataDxfId="393"/>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59"/>
    <tableColumn id="23" name="Top URLs in Tweet" dataDxfId="244"/>
    <tableColumn id="26" name="Top Domains in Tweet" dataDxfId="229"/>
    <tableColumn id="27" name="Top Hashtags in Tweet" dataDxfId="214"/>
    <tableColumn id="28" name="Top Words in Tweet" dataDxfId="199"/>
    <tableColumn id="29" name="Top Word Pairs in Tweet" dataDxfId="170"/>
    <tableColumn id="30" name="Top Replied-To in Tweet" dataDxfId="169"/>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92" dataDxfId="391">
  <autoFilter ref="A1:C39"/>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hill_purr/status/1445387585745006610" TargetMode="External" /><Relationship Id="rId2" Type="http://schemas.openxmlformats.org/officeDocument/2006/relationships/hyperlink" Target="https://twitter.com/jan_dutkiewicz/status/1445374355656085509" TargetMode="External" /><Relationship Id="rId3" Type="http://schemas.openxmlformats.org/officeDocument/2006/relationships/hyperlink" Target="https://twitter.com/chill_purr/status/1445387585745006610" TargetMode="External" /><Relationship Id="rId4" Type="http://schemas.openxmlformats.org/officeDocument/2006/relationships/hyperlink" Target="https://twitter.com/jan_dutkiewicz/status/1445374355656085509"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526</v>
      </c>
      <c r="BD2" s="13" t="s">
        <v>538</v>
      </c>
      <c r="BE2" s="13" t="s">
        <v>539</v>
      </c>
      <c r="BF2" s="68" t="s">
        <v>736</v>
      </c>
      <c r="BG2" s="68" t="s">
        <v>737</v>
      </c>
      <c r="BH2" s="68" t="s">
        <v>738</v>
      </c>
      <c r="BI2" s="68" t="s">
        <v>739</v>
      </c>
      <c r="BJ2" s="68" t="s">
        <v>740</v>
      </c>
      <c r="BK2" s="68" t="s">
        <v>741</v>
      </c>
      <c r="BL2" s="68" t="s">
        <v>742</v>
      </c>
      <c r="BM2" s="68" t="s">
        <v>743</v>
      </c>
      <c r="BN2" s="68" t="s">
        <v>744</v>
      </c>
    </row>
    <row r="3" spans="1:66" ht="15" customHeight="1">
      <c r="A3" s="81" t="s">
        <v>242</v>
      </c>
      <c r="B3" s="81" t="s">
        <v>242</v>
      </c>
      <c r="C3" s="53" t="s">
        <v>785</v>
      </c>
      <c r="D3" s="54">
        <v>3</v>
      </c>
      <c r="E3" s="66" t="s">
        <v>132</v>
      </c>
      <c r="F3" s="55">
        <v>32</v>
      </c>
      <c r="G3" s="53"/>
      <c r="H3" s="57"/>
      <c r="I3" s="56"/>
      <c r="J3" s="56"/>
      <c r="K3" s="36" t="s">
        <v>65</v>
      </c>
      <c r="L3" s="62">
        <v>3</v>
      </c>
      <c r="M3" s="62"/>
      <c r="N3" s="63"/>
      <c r="O3" s="82" t="s">
        <v>196</v>
      </c>
      <c r="P3" s="84">
        <v>44474.28083333333</v>
      </c>
      <c r="Q3" s="82" t="s">
        <v>284</v>
      </c>
      <c r="R3" s="82"/>
      <c r="S3" s="82"/>
      <c r="T3" s="82"/>
      <c r="U3" s="82"/>
      <c r="V3" s="88" t="str">
        <f>HYPERLINK("https://pbs.twimg.com/profile_images/1288065477722296321/837TwWoE_normal.jpg")</f>
        <v>https://pbs.twimg.com/profile_images/1288065477722296321/837TwWoE_normal.jpg</v>
      </c>
      <c r="W3" s="84">
        <v>44474.28083333333</v>
      </c>
      <c r="X3" s="89">
        <v>44474</v>
      </c>
      <c r="Y3" s="91" t="s">
        <v>297</v>
      </c>
      <c r="Z3" s="88" t="str">
        <f>HYPERLINK("https://twitter.com/soph8b/status/1445278680473751555")</f>
        <v>https://twitter.com/soph8b/status/1445278680473751555</v>
      </c>
      <c r="AA3" s="82"/>
      <c r="AB3" s="82"/>
      <c r="AC3" s="91" t="s">
        <v>307</v>
      </c>
      <c r="AD3" s="82"/>
      <c r="AE3" s="82" t="b">
        <v>0</v>
      </c>
      <c r="AF3" s="82">
        <v>2</v>
      </c>
      <c r="AG3" s="91" t="s">
        <v>312</v>
      </c>
      <c r="AH3" s="82" t="b">
        <v>0</v>
      </c>
      <c r="AI3" s="82" t="s">
        <v>317</v>
      </c>
      <c r="AJ3" s="82"/>
      <c r="AK3" s="91" t="s">
        <v>312</v>
      </c>
      <c r="AL3" s="82" t="b">
        <v>0</v>
      </c>
      <c r="AM3" s="82">
        <v>0</v>
      </c>
      <c r="AN3" s="91" t="s">
        <v>312</v>
      </c>
      <c r="AO3" s="91" t="s">
        <v>321</v>
      </c>
      <c r="AP3" s="82" t="b">
        <v>0</v>
      </c>
      <c r="AQ3" s="91" t="s">
        <v>307</v>
      </c>
      <c r="AR3" s="82" t="s">
        <v>196</v>
      </c>
      <c r="AS3" s="82">
        <v>0</v>
      </c>
      <c r="AT3" s="82">
        <v>0</v>
      </c>
      <c r="AU3" s="82"/>
      <c r="AV3" s="82"/>
      <c r="AW3" s="82"/>
      <c r="AX3" s="82"/>
      <c r="AY3" s="82"/>
      <c r="AZ3" s="82"/>
      <c r="BA3" s="82"/>
      <c r="BB3" s="82"/>
      <c r="BC3">
        <v>1</v>
      </c>
      <c r="BD3" s="82" t="str">
        <f>REPLACE(INDEX(GroupVertices[Group],MATCH(Edges[[#This Row],[Vertex 1]],GroupVertices[Vertex],0)),1,1,"")</f>
        <v>2</v>
      </c>
      <c r="BE3" s="82" t="str">
        <f>REPLACE(INDEX(GroupVertices[Group],MATCH(Edges[[#This Row],[Vertex 2]],GroupVertices[Vertex],0)),1,1,"")</f>
        <v>2</v>
      </c>
      <c r="BF3" s="51">
        <v>1</v>
      </c>
      <c r="BG3" s="52">
        <v>2.5</v>
      </c>
      <c r="BH3" s="51">
        <v>2</v>
      </c>
      <c r="BI3" s="52">
        <v>5</v>
      </c>
      <c r="BJ3" s="51">
        <v>0</v>
      </c>
      <c r="BK3" s="52">
        <v>0</v>
      </c>
      <c r="BL3" s="51">
        <v>37</v>
      </c>
      <c r="BM3" s="52">
        <v>92.5</v>
      </c>
      <c r="BN3" s="51">
        <v>40</v>
      </c>
    </row>
    <row r="4" spans="1:66" ht="15" customHeight="1">
      <c r="A4" s="81" t="s">
        <v>234</v>
      </c>
      <c r="B4" s="81" t="s">
        <v>234</v>
      </c>
      <c r="C4" s="53" t="s">
        <v>786</v>
      </c>
      <c r="D4" s="54">
        <v>3</v>
      </c>
      <c r="E4" s="53" t="s">
        <v>136</v>
      </c>
      <c r="F4" s="55">
        <v>6</v>
      </c>
      <c r="G4" s="53"/>
      <c r="H4" s="57"/>
      <c r="I4" s="56"/>
      <c r="J4" s="56"/>
      <c r="K4" s="36" t="s">
        <v>65</v>
      </c>
      <c r="L4" s="62">
        <v>4</v>
      </c>
      <c r="M4" s="62"/>
      <c r="N4" s="63"/>
      <c r="O4" s="83" t="s">
        <v>196</v>
      </c>
      <c r="P4" s="85">
        <v>44474.575740740744</v>
      </c>
      <c r="Q4" s="83" t="s">
        <v>276</v>
      </c>
      <c r="R4" s="86" t="str">
        <f>HYPERLINK("https://twitter.com/jan_dutkiewicz/status/1445374355656085509")</f>
        <v>https://twitter.com/jan_dutkiewicz/status/1445374355656085509</v>
      </c>
      <c r="S4" s="83" t="s">
        <v>285</v>
      </c>
      <c r="T4" s="83"/>
      <c r="U4" s="83"/>
      <c r="V4" s="86" t="str">
        <f>HYPERLINK("https://pbs.twimg.com/profile_images/1069637128370483201/BuXpxCEV_normal.jpg")</f>
        <v>https://pbs.twimg.com/profile_images/1069637128370483201/BuXpxCEV_normal.jpg</v>
      </c>
      <c r="W4" s="85">
        <v>44474.575740740744</v>
      </c>
      <c r="X4" s="90">
        <v>44474</v>
      </c>
      <c r="Y4" s="87" t="s">
        <v>288</v>
      </c>
      <c r="Z4" s="86" t="str">
        <f>HYPERLINK("https://twitter.com/barbkiser/status/1445385554502328340")</f>
        <v>https://twitter.com/barbkiser/status/1445385554502328340</v>
      </c>
      <c r="AA4" s="83"/>
      <c r="AB4" s="83"/>
      <c r="AC4" s="87" t="s">
        <v>298</v>
      </c>
      <c r="AD4" s="83"/>
      <c r="AE4" s="83" t="b">
        <v>0</v>
      </c>
      <c r="AF4" s="83">
        <v>1</v>
      </c>
      <c r="AG4" s="87" t="s">
        <v>312</v>
      </c>
      <c r="AH4" s="83" t="b">
        <v>1</v>
      </c>
      <c r="AI4" s="83" t="s">
        <v>317</v>
      </c>
      <c r="AJ4" s="83"/>
      <c r="AK4" s="87" t="s">
        <v>319</v>
      </c>
      <c r="AL4" s="83" t="b">
        <v>0</v>
      </c>
      <c r="AM4" s="83">
        <v>0</v>
      </c>
      <c r="AN4" s="87" t="s">
        <v>312</v>
      </c>
      <c r="AO4" s="87" t="s">
        <v>321</v>
      </c>
      <c r="AP4" s="83" t="b">
        <v>0</v>
      </c>
      <c r="AQ4" s="87" t="s">
        <v>298</v>
      </c>
      <c r="AR4" s="83" t="s">
        <v>196</v>
      </c>
      <c r="AS4" s="83">
        <v>0</v>
      </c>
      <c r="AT4" s="83">
        <v>0</v>
      </c>
      <c r="AU4" s="83"/>
      <c r="AV4" s="83"/>
      <c r="AW4" s="83"/>
      <c r="AX4" s="83"/>
      <c r="AY4" s="83"/>
      <c r="AZ4" s="83"/>
      <c r="BA4" s="83"/>
      <c r="BB4" s="83"/>
      <c r="BC4">
        <v>2</v>
      </c>
      <c r="BD4" s="82" t="str">
        <f>REPLACE(INDEX(GroupVertices[Group],MATCH(Edges[[#This Row],[Vertex 1]],GroupVertices[Vertex],0)),1,1,"")</f>
        <v>2</v>
      </c>
      <c r="BE4" s="82" t="str">
        <f>REPLACE(INDEX(GroupVertices[Group],MATCH(Edges[[#This Row],[Vertex 2]],GroupVertices[Vertex],0)),1,1,"")</f>
        <v>2</v>
      </c>
      <c r="BF4" s="51">
        <v>1</v>
      </c>
      <c r="BG4" s="52">
        <v>3.8461538461538463</v>
      </c>
      <c r="BH4" s="51">
        <v>2</v>
      </c>
      <c r="BI4" s="52">
        <v>7.6923076923076925</v>
      </c>
      <c r="BJ4" s="51">
        <v>0</v>
      </c>
      <c r="BK4" s="52">
        <v>0</v>
      </c>
      <c r="BL4" s="51">
        <v>23</v>
      </c>
      <c r="BM4" s="52">
        <v>88.46153846153847</v>
      </c>
      <c r="BN4" s="51">
        <v>26</v>
      </c>
    </row>
    <row r="5" spans="1:66" ht="30">
      <c r="A5" s="81" t="s">
        <v>234</v>
      </c>
      <c r="B5" s="81" t="s">
        <v>234</v>
      </c>
      <c r="C5" s="53" t="s">
        <v>786</v>
      </c>
      <c r="D5" s="54">
        <v>3</v>
      </c>
      <c r="E5" s="53" t="s">
        <v>136</v>
      </c>
      <c r="F5" s="55">
        <v>6</v>
      </c>
      <c r="G5" s="53"/>
      <c r="H5" s="57"/>
      <c r="I5" s="56"/>
      <c r="J5" s="56"/>
      <c r="K5" s="36" t="s">
        <v>65</v>
      </c>
      <c r="L5" s="62">
        <v>5</v>
      </c>
      <c r="M5" s="62"/>
      <c r="N5" s="63"/>
      <c r="O5" s="83" t="s">
        <v>196</v>
      </c>
      <c r="P5" s="85">
        <v>44474.620150462964</v>
      </c>
      <c r="Q5" s="83" t="s">
        <v>277</v>
      </c>
      <c r="R5" s="86" t="str">
        <f>HYPERLINK("https://twitter.com/chill_purr/status/1445387585745006610")</f>
        <v>https://twitter.com/chill_purr/status/1445387585745006610</v>
      </c>
      <c r="S5" s="83" t="s">
        <v>285</v>
      </c>
      <c r="T5" s="83"/>
      <c r="U5" s="83"/>
      <c r="V5" s="86" t="str">
        <f>HYPERLINK("https://pbs.twimg.com/profile_images/1069637128370483201/BuXpxCEV_normal.jpg")</f>
        <v>https://pbs.twimg.com/profile_images/1069637128370483201/BuXpxCEV_normal.jpg</v>
      </c>
      <c r="W5" s="85">
        <v>44474.620150462964</v>
      </c>
      <c r="X5" s="90">
        <v>44474</v>
      </c>
      <c r="Y5" s="87" t="s">
        <v>289</v>
      </c>
      <c r="Z5" s="86" t="str">
        <f>HYPERLINK("https://twitter.com/barbkiser/status/1445401647669202957")</f>
        <v>https://twitter.com/barbkiser/status/1445401647669202957</v>
      </c>
      <c r="AA5" s="83"/>
      <c r="AB5" s="83"/>
      <c r="AC5" s="87" t="s">
        <v>299</v>
      </c>
      <c r="AD5" s="83"/>
      <c r="AE5" s="83" t="b">
        <v>0</v>
      </c>
      <c r="AF5" s="83">
        <v>0</v>
      </c>
      <c r="AG5" s="87" t="s">
        <v>312</v>
      </c>
      <c r="AH5" s="83" t="b">
        <v>1</v>
      </c>
      <c r="AI5" s="83" t="s">
        <v>317</v>
      </c>
      <c r="AJ5" s="83"/>
      <c r="AK5" s="87" t="s">
        <v>320</v>
      </c>
      <c r="AL5" s="83" t="b">
        <v>0</v>
      </c>
      <c r="AM5" s="83">
        <v>0</v>
      </c>
      <c r="AN5" s="87" t="s">
        <v>312</v>
      </c>
      <c r="AO5" s="87" t="s">
        <v>321</v>
      </c>
      <c r="AP5" s="83" t="b">
        <v>0</v>
      </c>
      <c r="AQ5" s="87" t="s">
        <v>299</v>
      </c>
      <c r="AR5" s="83" t="s">
        <v>196</v>
      </c>
      <c r="AS5" s="83">
        <v>0</v>
      </c>
      <c r="AT5" s="83">
        <v>0</v>
      </c>
      <c r="AU5" s="83"/>
      <c r="AV5" s="83"/>
      <c r="AW5" s="83"/>
      <c r="AX5" s="83"/>
      <c r="AY5" s="83"/>
      <c r="AZ5" s="83"/>
      <c r="BA5" s="83"/>
      <c r="BB5" s="83"/>
      <c r="BC5">
        <v>2</v>
      </c>
      <c r="BD5" s="82" t="str">
        <f>REPLACE(INDEX(GroupVertices[Group],MATCH(Edges[[#This Row],[Vertex 1]],GroupVertices[Vertex],0)),1,1,"")</f>
        <v>2</v>
      </c>
      <c r="BE5" s="82" t="str">
        <f>REPLACE(INDEX(GroupVertices[Group],MATCH(Edges[[#This Row],[Vertex 2]],GroupVertices[Vertex],0)),1,1,"")</f>
        <v>2</v>
      </c>
      <c r="BF5" s="51">
        <v>1</v>
      </c>
      <c r="BG5" s="52">
        <v>2.272727272727273</v>
      </c>
      <c r="BH5" s="51">
        <v>0</v>
      </c>
      <c r="BI5" s="52">
        <v>0</v>
      </c>
      <c r="BJ5" s="51">
        <v>0</v>
      </c>
      <c r="BK5" s="52">
        <v>0</v>
      </c>
      <c r="BL5" s="51">
        <v>43</v>
      </c>
      <c r="BM5" s="52">
        <v>97.72727272727273</v>
      </c>
      <c r="BN5" s="51">
        <v>44</v>
      </c>
    </row>
    <row r="6" spans="1:66" ht="15">
      <c r="A6" s="81" t="s">
        <v>235</v>
      </c>
      <c r="B6" s="81" t="s">
        <v>235</v>
      </c>
      <c r="C6" s="53" t="s">
        <v>785</v>
      </c>
      <c r="D6" s="54">
        <v>3</v>
      </c>
      <c r="E6" s="53" t="s">
        <v>132</v>
      </c>
      <c r="F6" s="55">
        <v>32</v>
      </c>
      <c r="G6" s="53"/>
      <c r="H6" s="57"/>
      <c r="I6" s="56"/>
      <c r="J6" s="56"/>
      <c r="K6" s="36" t="s">
        <v>65</v>
      </c>
      <c r="L6" s="62">
        <v>6</v>
      </c>
      <c r="M6" s="62"/>
      <c r="N6" s="63"/>
      <c r="O6" s="83" t="s">
        <v>196</v>
      </c>
      <c r="P6" s="85">
        <v>44476.879282407404</v>
      </c>
      <c r="Q6" s="83" t="s">
        <v>278</v>
      </c>
      <c r="R6" s="83"/>
      <c r="S6" s="83"/>
      <c r="T6" s="83"/>
      <c r="U6" s="83"/>
      <c r="V6" s="86" t="str">
        <f>HYPERLINK("https://pbs.twimg.com/profile_images/946978016839720963/oGMSwGhV_normal.jpg")</f>
        <v>https://pbs.twimg.com/profile_images/946978016839720963/oGMSwGhV_normal.jpg</v>
      </c>
      <c r="W6" s="85">
        <v>44476.879282407404</v>
      </c>
      <c r="X6" s="90">
        <v>44476</v>
      </c>
      <c r="Y6" s="87" t="s">
        <v>290</v>
      </c>
      <c r="Z6" s="86" t="str">
        <f>HYPERLINK("https://twitter.com/crittheorybot/status/1446220327734886405")</f>
        <v>https://twitter.com/crittheorybot/status/1446220327734886405</v>
      </c>
      <c r="AA6" s="83"/>
      <c r="AB6" s="83"/>
      <c r="AC6" s="87" t="s">
        <v>300</v>
      </c>
      <c r="AD6" s="83"/>
      <c r="AE6" s="83" t="b">
        <v>0</v>
      </c>
      <c r="AF6" s="83">
        <v>0</v>
      </c>
      <c r="AG6" s="87" t="s">
        <v>312</v>
      </c>
      <c r="AH6" s="83" t="b">
        <v>0</v>
      </c>
      <c r="AI6" s="83" t="s">
        <v>317</v>
      </c>
      <c r="AJ6" s="83"/>
      <c r="AK6" s="87" t="s">
        <v>312</v>
      </c>
      <c r="AL6" s="83" t="b">
        <v>0</v>
      </c>
      <c r="AM6" s="83">
        <v>0</v>
      </c>
      <c r="AN6" s="87" t="s">
        <v>312</v>
      </c>
      <c r="AO6" s="87" t="s">
        <v>322</v>
      </c>
      <c r="AP6" s="83" t="b">
        <v>0</v>
      </c>
      <c r="AQ6" s="87" t="s">
        <v>300</v>
      </c>
      <c r="AR6" s="83" t="s">
        <v>196</v>
      </c>
      <c r="AS6" s="83">
        <v>0</v>
      </c>
      <c r="AT6" s="83">
        <v>0</v>
      </c>
      <c r="AU6" s="83"/>
      <c r="AV6" s="83"/>
      <c r="AW6" s="83"/>
      <c r="AX6" s="83"/>
      <c r="AY6" s="83"/>
      <c r="AZ6" s="83"/>
      <c r="BA6" s="83"/>
      <c r="BB6" s="83"/>
      <c r="BC6">
        <v>1</v>
      </c>
      <c r="BD6" s="82" t="str">
        <f>REPLACE(INDEX(GroupVertices[Group],MATCH(Edges[[#This Row],[Vertex 1]],GroupVertices[Vertex],0)),1,1,"")</f>
        <v>2</v>
      </c>
      <c r="BE6" s="82" t="str">
        <f>REPLACE(INDEX(GroupVertices[Group],MATCH(Edges[[#This Row],[Vertex 2]],GroupVertices[Vertex],0)),1,1,"")</f>
        <v>2</v>
      </c>
      <c r="BF6" s="51">
        <v>0</v>
      </c>
      <c r="BG6" s="52">
        <v>0</v>
      </c>
      <c r="BH6" s="51">
        <v>0</v>
      </c>
      <c r="BI6" s="52">
        <v>0</v>
      </c>
      <c r="BJ6" s="51">
        <v>0</v>
      </c>
      <c r="BK6" s="52">
        <v>0</v>
      </c>
      <c r="BL6" s="51">
        <v>13</v>
      </c>
      <c r="BM6" s="52">
        <v>100</v>
      </c>
      <c r="BN6" s="51">
        <v>13</v>
      </c>
    </row>
    <row r="7" spans="1:66" ht="15">
      <c r="A7" s="81" t="s">
        <v>236</v>
      </c>
      <c r="B7" s="81" t="s">
        <v>243</v>
      </c>
      <c r="C7" s="53" t="s">
        <v>785</v>
      </c>
      <c r="D7" s="54">
        <v>3</v>
      </c>
      <c r="E7" s="53" t="s">
        <v>132</v>
      </c>
      <c r="F7" s="55">
        <v>32</v>
      </c>
      <c r="G7" s="53"/>
      <c r="H7" s="57"/>
      <c r="I7" s="56"/>
      <c r="J7" s="56"/>
      <c r="K7" s="36" t="s">
        <v>65</v>
      </c>
      <c r="L7" s="62">
        <v>7</v>
      </c>
      <c r="M7" s="62"/>
      <c r="N7" s="63"/>
      <c r="O7" s="83" t="s">
        <v>272</v>
      </c>
      <c r="P7" s="85">
        <v>44477.966898148145</v>
      </c>
      <c r="Q7" s="83" t="s">
        <v>279</v>
      </c>
      <c r="R7" s="83"/>
      <c r="S7" s="83"/>
      <c r="T7" s="83"/>
      <c r="U7" s="83"/>
      <c r="V7" s="86" t="str">
        <f>HYPERLINK("https://pbs.twimg.com/profile_images/1420534073571700740/RkGo6Y0a_normal.jpg")</f>
        <v>https://pbs.twimg.com/profile_images/1420534073571700740/RkGo6Y0a_normal.jpg</v>
      </c>
      <c r="W7" s="85">
        <v>44477.966898148145</v>
      </c>
      <c r="X7" s="90">
        <v>44477</v>
      </c>
      <c r="Y7" s="87" t="s">
        <v>291</v>
      </c>
      <c r="Z7" s="86" t="str">
        <f>HYPERLINK("https://twitter.com/jordanrossmedia/status/1446614468616613888")</f>
        <v>https://twitter.com/jordanrossmedia/status/1446614468616613888</v>
      </c>
      <c r="AA7" s="83"/>
      <c r="AB7" s="83"/>
      <c r="AC7" s="87" t="s">
        <v>301</v>
      </c>
      <c r="AD7" s="87" t="s">
        <v>308</v>
      </c>
      <c r="AE7" s="83" t="b">
        <v>0</v>
      </c>
      <c r="AF7" s="83">
        <v>1</v>
      </c>
      <c r="AG7" s="87" t="s">
        <v>313</v>
      </c>
      <c r="AH7" s="83" t="b">
        <v>0</v>
      </c>
      <c r="AI7" s="83" t="s">
        <v>317</v>
      </c>
      <c r="AJ7" s="83"/>
      <c r="AK7" s="87" t="s">
        <v>312</v>
      </c>
      <c r="AL7" s="83" t="b">
        <v>0</v>
      </c>
      <c r="AM7" s="83">
        <v>0</v>
      </c>
      <c r="AN7" s="87" t="s">
        <v>312</v>
      </c>
      <c r="AO7" s="87" t="s">
        <v>323</v>
      </c>
      <c r="AP7" s="83" t="b">
        <v>0</v>
      </c>
      <c r="AQ7" s="87" t="s">
        <v>308</v>
      </c>
      <c r="AR7" s="83" t="s">
        <v>196</v>
      </c>
      <c r="AS7" s="83">
        <v>0</v>
      </c>
      <c r="AT7" s="83">
        <v>0</v>
      </c>
      <c r="AU7" s="83"/>
      <c r="AV7" s="83"/>
      <c r="AW7" s="83"/>
      <c r="AX7" s="83"/>
      <c r="AY7" s="83"/>
      <c r="AZ7" s="83"/>
      <c r="BA7" s="83"/>
      <c r="BB7" s="83"/>
      <c r="BC7">
        <v>1</v>
      </c>
      <c r="BD7" s="82" t="str">
        <f>REPLACE(INDEX(GroupVertices[Group],MATCH(Edges[[#This Row],[Vertex 1]],GroupVertices[Vertex],0)),1,1,"")</f>
        <v>5</v>
      </c>
      <c r="BE7" s="82" t="str">
        <f>REPLACE(INDEX(GroupVertices[Group],MATCH(Edges[[#This Row],[Vertex 2]],GroupVertices[Vertex],0)),1,1,"")</f>
        <v>5</v>
      </c>
      <c r="BF7" s="51">
        <v>1</v>
      </c>
      <c r="BG7" s="52">
        <v>5</v>
      </c>
      <c r="BH7" s="51">
        <v>2</v>
      </c>
      <c r="BI7" s="52">
        <v>10</v>
      </c>
      <c r="BJ7" s="51">
        <v>0</v>
      </c>
      <c r="BK7" s="52">
        <v>0</v>
      </c>
      <c r="BL7" s="51">
        <v>17</v>
      </c>
      <c r="BM7" s="52">
        <v>85</v>
      </c>
      <c r="BN7" s="51">
        <v>20</v>
      </c>
    </row>
    <row r="8" spans="1:66" ht="15">
      <c r="A8" s="81" t="s">
        <v>237</v>
      </c>
      <c r="B8" s="81" t="s">
        <v>244</v>
      </c>
      <c r="C8" s="53" t="s">
        <v>785</v>
      </c>
      <c r="D8" s="54">
        <v>3</v>
      </c>
      <c r="E8" s="53" t="s">
        <v>132</v>
      </c>
      <c r="F8" s="55">
        <v>32</v>
      </c>
      <c r="G8" s="53"/>
      <c r="H8" s="57"/>
      <c r="I8" s="56"/>
      <c r="J8" s="56"/>
      <c r="K8" s="36" t="s">
        <v>65</v>
      </c>
      <c r="L8" s="62">
        <v>8</v>
      </c>
      <c r="M8" s="62"/>
      <c r="N8" s="63"/>
      <c r="O8" s="83" t="s">
        <v>273</v>
      </c>
      <c r="P8" s="85">
        <v>44478.695185185185</v>
      </c>
      <c r="Q8" s="83" t="s">
        <v>280</v>
      </c>
      <c r="R8" s="83"/>
      <c r="S8" s="83"/>
      <c r="T8" s="83"/>
      <c r="U8" s="86" t="str">
        <f>HYPERLINK("https://pbs.twimg.com/media/FBRYOanX0AQOhR2.jpg")</f>
        <v>https://pbs.twimg.com/media/FBRYOanX0AQOhR2.jpg</v>
      </c>
      <c r="V8" s="86" t="str">
        <f>HYPERLINK("https://pbs.twimg.com/media/FBRYOanX0AQOhR2.jpg")</f>
        <v>https://pbs.twimg.com/media/FBRYOanX0AQOhR2.jpg</v>
      </c>
      <c r="W8" s="85">
        <v>44478.695185185185</v>
      </c>
      <c r="X8" s="90">
        <v>44478</v>
      </c>
      <c r="Y8" s="87" t="s">
        <v>292</v>
      </c>
      <c r="Z8" s="86" t="str">
        <f>HYPERLINK("https://twitter.com/naturaize/status/1446878389135106054")</f>
        <v>https://twitter.com/naturaize/status/1446878389135106054</v>
      </c>
      <c r="AA8" s="83"/>
      <c r="AB8" s="83"/>
      <c r="AC8" s="87" t="s">
        <v>302</v>
      </c>
      <c r="AD8" s="87" t="s">
        <v>309</v>
      </c>
      <c r="AE8" s="83" t="b">
        <v>0</v>
      </c>
      <c r="AF8" s="83">
        <v>6</v>
      </c>
      <c r="AG8" s="87" t="s">
        <v>314</v>
      </c>
      <c r="AH8" s="83" t="b">
        <v>0</v>
      </c>
      <c r="AI8" s="83" t="s">
        <v>318</v>
      </c>
      <c r="AJ8" s="83"/>
      <c r="AK8" s="87" t="s">
        <v>312</v>
      </c>
      <c r="AL8" s="83" t="b">
        <v>0</v>
      </c>
      <c r="AM8" s="83">
        <v>1</v>
      </c>
      <c r="AN8" s="87" t="s">
        <v>312</v>
      </c>
      <c r="AO8" s="87" t="s">
        <v>324</v>
      </c>
      <c r="AP8" s="83" t="b">
        <v>0</v>
      </c>
      <c r="AQ8" s="87" t="s">
        <v>309</v>
      </c>
      <c r="AR8" s="83" t="s">
        <v>196</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c r="BG8" s="52"/>
      <c r="BH8" s="51"/>
      <c r="BI8" s="52"/>
      <c r="BJ8" s="51"/>
      <c r="BK8" s="52"/>
      <c r="BL8" s="51"/>
      <c r="BM8" s="52"/>
      <c r="BN8" s="51"/>
    </row>
    <row r="9" spans="1:66" ht="15">
      <c r="A9" s="81" t="s">
        <v>238</v>
      </c>
      <c r="B9" s="81" t="s">
        <v>244</v>
      </c>
      <c r="C9" s="53" t="s">
        <v>785</v>
      </c>
      <c r="D9" s="54">
        <v>3</v>
      </c>
      <c r="E9" s="53" t="s">
        <v>132</v>
      </c>
      <c r="F9" s="55">
        <v>32</v>
      </c>
      <c r="G9" s="53"/>
      <c r="H9" s="57"/>
      <c r="I9" s="56"/>
      <c r="J9" s="56"/>
      <c r="K9" s="36" t="s">
        <v>65</v>
      </c>
      <c r="L9" s="62">
        <v>9</v>
      </c>
      <c r="M9" s="62"/>
      <c r="N9" s="63"/>
      <c r="O9" s="83" t="s">
        <v>274</v>
      </c>
      <c r="P9" s="85">
        <v>44478.70872685185</v>
      </c>
      <c r="Q9" s="83" t="s">
        <v>280</v>
      </c>
      <c r="R9" s="83"/>
      <c r="S9" s="83"/>
      <c r="T9" s="83"/>
      <c r="U9" s="86" t="str">
        <f>HYPERLINK("https://pbs.twimg.com/media/FBRYOanX0AQOhR2.jpg")</f>
        <v>https://pbs.twimg.com/media/FBRYOanX0AQOhR2.jpg</v>
      </c>
      <c r="V9" s="86" t="str">
        <f>HYPERLINK("https://pbs.twimg.com/media/FBRYOanX0AQOhR2.jpg")</f>
        <v>https://pbs.twimg.com/media/FBRYOanX0AQOhR2.jpg</v>
      </c>
      <c r="W9" s="85">
        <v>44478.70872685185</v>
      </c>
      <c r="X9" s="90">
        <v>44478</v>
      </c>
      <c r="Y9" s="87" t="s">
        <v>293</v>
      </c>
      <c r="Z9" s="86" t="str">
        <f>HYPERLINK("https://twitter.com/raaga31280/status/1446883298274250754")</f>
        <v>https://twitter.com/raaga31280/status/1446883298274250754</v>
      </c>
      <c r="AA9" s="83"/>
      <c r="AB9" s="83"/>
      <c r="AC9" s="87" t="s">
        <v>303</v>
      </c>
      <c r="AD9" s="83"/>
      <c r="AE9" s="83" t="b">
        <v>0</v>
      </c>
      <c r="AF9" s="83">
        <v>0</v>
      </c>
      <c r="AG9" s="87" t="s">
        <v>312</v>
      </c>
      <c r="AH9" s="83" t="b">
        <v>0</v>
      </c>
      <c r="AI9" s="83" t="s">
        <v>318</v>
      </c>
      <c r="AJ9" s="83"/>
      <c r="AK9" s="87" t="s">
        <v>312</v>
      </c>
      <c r="AL9" s="83" t="b">
        <v>0</v>
      </c>
      <c r="AM9" s="83">
        <v>1</v>
      </c>
      <c r="AN9" s="87" t="s">
        <v>302</v>
      </c>
      <c r="AO9" s="87" t="s">
        <v>323</v>
      </c>
      <c r="AP9" s="83" t="b">
        <v>0</v>
      </c>
      <c r="AQ9" s="87" t="s">
        <v>302</v>
      </c>
      <c r="AR9" s="83" t="s">
        <v>196</v>
      </c>
      <c r="AS9" s="83">
        <v>0</v>
      </c>
      <c r="AT9" s="83">
        <v>0</v>
      </c>
      <c r="AU9" s="83"/>
      <c r="AV9" s="83"/>
      <c r="AW9" s="83"/>
      <c r="AX9" s="83"/>
      <c r="AY9" s="83"/>
      <c r="AZ9" s="83"/>
      <c r="BA9" s="83"/>
      <c r="BB9" s="83"/>
      <c r="BC9">
        <v>1</v>
      </c>
      <c r="BD9" s="82" t="str">
        <f>REPLACE(INDEX(GroupVertices[Group],MATCH(Edges[[#This Row],[Vertex 1]],GroupVertices[Vertex],0)),1,1,"")</f>
        <v>1</v>
      </c>
      <c r="BE9" s="82" t="str">
        <f>REPLACE(INDEX(GroupVertices[Group],MATCH(Edges[[#This Row],[Vertex 2]],GroupVertices[Vertex],0)),1,1,"")</f>
        <v>1</v>
      </c>
      <c r="BF9" s="51"/>
      <c r="BG9" s="52"/>
      <c r="BH9" s="51"/>
      <c r="BI9" s="52"/>
      <c r="BJ9" s="51"/>
      <c r="BK9" s="52"/>
      <c r="BL9" s="51"/>
      <c r="BM9" s="52"/>
      <c r="BN9" s="51"/>
    </row>
    <row r="10" spans="1:66" ht="15">
      <c r="A10" s="81" t="s">
        <v>237</v>
      </c>
      <c r="B10" s="81" t="s">
        <v>245</v>
      </c>
      <c r="C10" s="53" t="s">
        <v>785</v>
      </c>
      <c r="D10" s="54">
        <v>3</v>
      </c>
      <c r="E10" s="53" t="s">
        <v>132</v>
      </c>
      <c r="F10" s="55">
        <v>32</v>
      </c>
      <c r="G10" s="53"/>
      <c r="H10" s="57"/>
      <c r="I10" s="56"/>
      <c r="J10" s="56"/>
      <c r="K10" s="36" t="s">
        <v>65</v>
      </c>
      <c r="L10" s="62">
        <v>10</v>
      </c>
      <c r="M10" s="62"/>
      <c r="N10" s="63"/>
      <c r="O10" s="83" t="s">
        <v>273</v>
      </c>
      <c r="P10" s="85">
        <v>44478.695185185185</v>
      </c>
      <c r="Q10" s="83" t="s">
        <v>280</v>
      </c>
      <c r="R10" s="83"/>
      <c r="S10" s="83"/>
      <c r="T10" s="83"/>
      <c r="U10" s="86" t="str">
        <f>HYPERLINK("https://pbs.twimg.com/media/FBRYOanX0AQOhR2.jpg")</f>
        <v>https://pbs.twimg.com/media/FBRYOanX0AQOhR2.jpg</v>
      </c>
      <c r="V10" s="86" t="str">
        <f>HYPERLINK("https://pbs.twimg.com/media/FBRYOanX0AQOhR2.jpg")</f>
        <v>https://pbs.twimg.com/media/FBRYOanX0AQOhR2.jpg</v>
      </c>
      <c r="W10" s="85">
        <v>44478.695185185185</v>
      </c>
      <c r="X10" s="90">
        <v>44478</v>
      </c>
      <c r="Y10" s="87" t="s">
        <v>292</v>
      </c>
      <c r="Z10" s="86" t="str">
        <f>HYPERLINK("https://twitter.com/naturaize/status/1446878389135106054")</f>
        <v>https://twitter.com/naturaize/status/1446878389135106054</v>
      </c>
      <c r="AA10" s="83"/>
      <c r="AB10" s="83"/>
      <c r="AC10" s="87" t="s">
        <v>302</v>
      </c>
      <c r="AD10" s="87" t="s">
        <v>309</v>
      </c>
      <c r="AE10" s="83" t="b">
        <v>0</v>
      </c>
      <c r="AF10" s="83">
        <v>6</v>
      </c>
      <c r="AG10" s="87" t="s">
        <v>314</v>
      </c>
      <c r="AH10" s="83" t="b">
        <v>0</v>
      </c>
      <c r="AI10" s="83" t="s">
        <v>318</v>
      </c>
      <c r="AJ10" s="83"/>
      <c r="AK10" s="87" t="s">
        <v>312</v>
      </c>
      <c r="AL10" s="83" t="b">
        <v>0</v>
      </c>
      <c r="AM10" s="83">
        <v>1</v>
      </c>
      <c r="AN10" s="87" t="s">
        <v>312</v>
      </c>
      <c r="AO10" s="87" t="s">
        <v>324</v>
      </c>
      <c r="AP10" s="83" t="b">
        <v>0</v>
      </c>
      <c r="AQ10" s="87" t="s">
        <v>309</v>
      </c>
      <c r="AR10" s="83" t="s">
        <v>196</v>
      </c>
      <c r="AS10" s="83">
        <v>0</v>
      </c>
      <c r="AT10" s="83">
        <v>0</v>
      </c>
      <c r="AU10" s="83"/>
      <c r="AV10" s="83"/>
      <c r="AW10" s="83"/>
      <c r="AX10" s="83"/>
      <c r="AY10" s="83"/>
      <c r="AZ10" s="83"/>
      <c r="BA10" s="83"/>
      <c r="BB10" s="83"/>
      <c r="BC10">
        <v>1</v>
      </c>
      <c r="BD10" s="82" t="str">
        <f>REPLACE(INDEX(GroupVertices[Group],MATCH(Edges[[#This Row],[Vertex 1]],GroupVertices[Vertex],0)),1,1,"")</f>
        <v>1</v>
      </c>
      <c r="BE10" s="82" t="str">
        <f>REPLACE(INDEX(GroupVertices[Group],MATCH(Edges[[#This Row],[Vertex 2]],GroupVertices[Vertex],0)),1,1,"")</f>
        <v>1</v>
      </c>
      <c r="BF10" s="51"/>
      <c r="BG10" s="52"/>
      <c r="BH10" s="51"/>
      <c r="BI10" s="52"/>
      <c r="BJ10" s="51"/>
      <c r="BK10" s="52"/>
      <c r="BL10" s="51"/>
      <c r="BM10" s="52"/>
      <c r="BN10" s="51"/>
    </row>
    <row r="11" spans="1:66" ht="15">
      <c r="A11" s="81" t="s">
        <v>238</v>
      </c>
      <c r="B11" s="81" t="s">
        <v>245</v>
      </c>
      <c r="C11" s="53" t="s">
        <v>785</v>
      </c>
      <c r="D11" s="54">
        <v>3</v>
      </c>
      <c r="E11" s="53" t="s">
        <v>132</v>
      </c>
      <c r="F11" s="55">
        <v>32</v>
      </c>
      <c r="G11" s="53"/>
      <c r="H11" s="57"/>
      <c r="I11" s="56"/>
      <c r="J11" s="56"/>
      <c r="K11" s="36" t="s">
        <v>65</v>
      </c>
      <c r="L11" s="62">
        <v>11</v>
      </c>
      <c r="M11" s="62"/>
      <c r="N11" s="63"/>
      <c r="O11" s="83" t="s">
        <v>274</v>
      </c>
      <c r="P11" s="85">
        <v>44478.70872685185</v>
      </c>
      <c r="Q11" s="83" t="s">
        <v>280</v>
      </c>
      <c r="R11" s="83"/>
      <c r="S11" s="83"/>
      <c r="T11" s="83"/>
      <c r="U11" s="86" t="str">
        <f>HYPERLINK("https://pbs.twimg.com/media/FBRYOanX0AQOhR2.jpg")</f>
        <v>https://pbs.twimg.com/media/FBRYOanX0AQOhR2.jpg</v>
      </c>
      <c r="V11" s="86" t="str">
        <f>HYPERLINK("https://pbs.twimg.com/media/FBRYOanX0AQOhR2.jpg")</f>
        <v>https://pbs.twimg.com/media/FBRYOanX0AQOhR2.jpg</v>
      </c>
      <c r="W11" s="85">
        <v>44478.70872685185</v>
      </c>
      <c r="X11" s="90">
        <v>44478</v>
      </c>
      <c r="Y11" s="87" t="s">
        <v>293</v>
      </c>
      <c r="Z11" s="86" t="str">
        <f>HYPERLINK("https://twitter.com/raaga31280/status/1446883298274250754")</f>
        <v>https://twitter.com/raaga31280/status/1446883298274250754</v>
      </c>
      <c r="AA11" s="83"/>
      <c r="AB11" s="83"/>
      <c r="AC11" s="87" t="s">
        <v>303</v>
      </c>
      <c r="AD11" s="83"/>
      <c r="AE11" s="83" t="b">
        <v>0</v>
      </c>
      <c r="AF11" s="83">
        <v>0</v>
      </c>
      <c r="AG11" s="87" t="s">
        <v>312</v>
      </c>
      <c r="AH11" s="83" t="b">
        <v>0</v>
      </c>
      <c r="AI11" s="83" t="s">
        <v>318</v>
      </c>
      <c r="AJ11" s="83"/>
      <c r="AK11" s="87" t="s">
        <v>312</v>
      </c>
      <c r="AL11" s="83" t="b">
        <v>0</v>
      </c>
      <c r="AM11" s="83">
        <v>1</v>
      </c>
      <c r="AN11" s="87" t="s">
        <v>302</v>
      </c>
      <c r="AO11" s="87" t="s">
        <v>323</v>
      </c>
      <c r="AP11" s="83" t="b">
        <v>0</v>
      </c>
      <c r="AQ11" s="87" t="s">
        <v>302</v>
      </c>
      <c r="AR11" s="83" t="s">
        <v>196</v>
      </c>
      <c r="AS11" s="83">
        <v>0</v>
      </c>
      <c r="AT11" s="83">
        <v>0</v>
      </c>
      <c r="AU11" s="83"/>
      <c r="AV11" s="83"/>
      <c r="AW11" s="83"/>
      <c r="AX11" s="83"/>
      <c r="AY11" s="83"/>
      <c r="AZ11" s="83"/>
      <c r="BA11" s="83"/>
      <c r="BB11" s="83"/>
      <c r="BC11">
        <v>1</v>
      </c>
      <c r="BD11" s="82" t="str">
        <f>REPLACE(INDEX(GroupVertices[Group],MATCH(Edges[[#This Row],[Vertex 1]],GroupVertices[Vertex],0)),1,1,"")</f>
        <v>1</v>
      </c>
      <c r="BE11" s="82" t="str">
        <f>REPLACE(INDEX(GroupVertices[Group],MATCH(Edges[[#This Row],[Vertex 2]],GroupVertices[Vertex],0)),1,1,"")</f>
        <v>1</v>
      </c>
      <c r="BF11" s="51"/>
      <c r="BG11" s="52"/>
      <c r="BH11" s="51"/>
      <c r="BI11" s="52"/>
      <c r="BJ11" s="51"/>
      <c r="BK11" s="52"/>
      <c r="BL11" s="51"/>
      <c r="BM11" s="52"/>
      <c r="BN11" s="51"/>
    </row>
    <row r="12" spans="1:66" ht="15">
      <c r="A12" s="81" t="s">
        <v>237</v>
      </c>
      <c r="B12" s="81" t="s">
        <v>246</v>
      </c>
      <c r="C12" s="53" t="s">
        <v>785</v>
      </c>
      <c r="D12" s="54">
        <v>3</v>
      </c>
      <c r="E12" s="53" t="s">
        <v>132</v>
      </c>
      <c r="F12" s="55">
        <v>32</v>
      </c>
      <c r="G12" s="53"/>
      <c r="H12" s="57"/>
      <c r="I12" s="56"/>
      <c r="J12" s="56"/>
      <c r="K12" s="36" t="s">
        <v>65</v>
      </c>
      <c r="L12" s="62">
        <v>12</v>
      </c>
      <c r="M12" s="62"/>
      <c r="N12" s="63"/>
      <c r="O12" s="83" t="s">
        <v>273</v>
      </c>
      <c r="P12" s="85">
        <v>44478.695185185185</v>
      </c>
      <c r="Q12" s="83" t="s">
        <v>280</v>
      </c>
      <c r="R12" s="83"/>
      <c r="S12" s="83"/>
      <c r="T12" s="83"/>
      <c r="U12" s="86" t="str">
        <f>HYPERLINK("https://pbs.twimg.com/media/FBRYOanX0AQOhR2.jpg")</f>
        <v>https://pbs.twimg.com/media/FBRYOanX0AQOhR2.jpg</v>
      </c>
      <c r="V12" s="86" t="str">
        <f>HYPERLINK("https://pbs.twimg.com/media/FBRYOanX0AQOhR2.jpg")</f>
        <v>https://pbs.twimg.com/media/FBRYOanX0AQOhR2.jpg</v>
      </c>
      <c r="W12" s="85">
        <v>44478.695185185185</v>
      </c>
      <c r="X12" s="90">
        <v>44478</v>
      </c>
      <c r="Y12" s="87" t="s">
        <v>292</v>
      </c>
      <c r="Z12" s="86" t="str">
        <f>HYPERLINK("https://twitter.com/naturaize/status/1446878389135106054")</f>
        <v>https://twitter.com/naturaize/status/1446878389135106054</v>
      </c>
      <c r="AA12" s="83"/>
      <c r="AB12" s="83"/>
      <c r="AC12" s="87" t="s">
        <v>302</v>
      </c>
      <c r="AD12" s="87" t="s">
        <v>309</v>
      </c>
      <c r="AE12" s="83" t="b">
        <v>0</v>
      </c>
      <c r="AF12" s="83">
        <v>6</v>
      </c>
      <c r="AG12" s="87" t="s">
        <v>314</v>
      </c>
      <c r="AH12" s="83" t="b">
        <v>0</v>
      </c>
      <c r="AI12" s="83" t="s">
        <v>318</v>
      </c>
      <c r="AJ12" s="83"/>
      <c r="AK12" s="87" t="s">
        <v>312</v>
      </c>
      <c r="AL12" s="83" t="b">
        <v>0</v>
      </c>
      <c r="AM12" s="83">
        <v>1</v>
      </c>
      <c r="AN12" s="87" t="s">
        <v>312</v>
      </c>
      <c r="AO12" s="87" t="s">
        <v>324</v>
      </c>
      <c r="AP12" s="83" t="b">
        <v>0</v>
      </c>
      <c r="AQ12" s="87" t="s">
        <v>309</v>
      </c>
      <c r="AR12" s="83" t="s">
        <v>196</v>
      </c>
      <c r="AS12" s="83">
        <v>0</v>
      </c>
      <c r="AT12" s="83">
        <v>0</v>
      </c>
      <c r="AU12" s="83"/>
      <c r="AV12" s="83"/>
      <c r="AW12" s="83"/>
      <c r="AX12" s="83"/>
      <c r="AY12" s="83"/>
      <c r="AZ12" s="83"/>
      <c r="BA12" s="83"/>
      <c r="BB12" s="83"/>
      <c r="BC12">
        <v>1</v>
      </c>
      <c r="BD12" s="82" t="str">
        <f>REPLACE(INDEX(GroupVertices[Group],MATCH(Edges[[#This Row],[Vertex 1]],GroupVertices[Vertex],0)),1,1,"")</f>
        <v>1</v>
      </c>
      <c r="BE12" s="82" t="str">
        <f>REPLACE(INDEX(GroupVertices[Group],MATCH(Edges[[#This Row],[Vertex 2]],GroupVertices[Vertex],0)),1,1,"")</f>
        <v>1</v>
      </c>
      <c r="BF12" s="51"/>
      <c r="BG12" s="52"/>
      <c r="BH12" s="51"/>
      <c r="BI12" s="52"/>
      <c r="BJ12" s="51"/>
      <c r="BK12" s="52"/>
      <c r="BL12" s="51"/>
      <c r="BM12" s="52"/>
      <c r="BN12" s="51"/>
    </row>
    <row r="13" spans="1:66" ht="15">
      <c r="A13" s="81" t="s">
        <v>238</v>
      </c>
      <c r="B13" s="81" t="s">
        <v>246</v>
      </c>
      <c r="C13" s="53" t="s">
        <v>785</v>
      </c>
      <c r="D13" s="54">
        <v>3</v>
      </c>
      <c r="E13" s="53" t="s">
        <v>132</v>
      </c>
      <c r="F13" s="55">
        <v>32</v>
      </c>
      <c r="G13" s="53"/>
      <c r="H13" s="57"/>
      <c r="I13" s="56"/>
      <c r="J13" s="56"/>
      <c r="K13" s="36" t="s">
        <v>65</v>
      </c>
      <c r="L13" s="62">
        <v>13</v>
      </c>
      <c r="M13" s="62"/>
      <c r="N13" s="63"/>
      <c r="O13" s="83" t="s">
        <v>274</v>
      </c>
      <c r="P13" s="85">
        <v>44478.70872685185</v>
      </c>
      <c r="Q13" s="83" t="s">
        <v>280</v>
      </c>
      <c r="R13" s="83"/>
      <c r="S13" s="83"/>
      <c r="T13" s="83"/>
      <c r="U13" s="86" t="str">
        <f>HYPERLINK("https://pbs.twimg.com/media/FBRYOanX0AQOhR2.jpg")</f>
        <v>https://pbs.twimg.com/media/FBRYOanX0AQOhR2.jpg</v>
      </c>
      <c r="V13" s="86" t="str">
        <f>HYPERLINK("https://pbs.twimg.com/media/FBRYOanX0AQOhR2.jpg")</f>
        <v>https://pbs.twimg.com/media/FBRYOanX0AQOhR2.jpg</v>
      </c>
      <c r="W13" s="85">
        <v>44478.70872685185</v>
      </c>
      <c r="X13" s="90">
        <v>44478</v>
      </c>
      <c r="Y13" s="87" t="s">
        <v>293</v>
      </c>
      <c r="Z13" s="86" t="str">
        <f>HYPERLINK("https://twitter.com/raaga31280/status/1446883298274250754")</f>
        <v>https://twitter.com/raaga31280/status/1446883298274250754</v>
      </c>
      <c r="AA13" s="83"/>
      <c r="AB13" s="83"/>
      <c r="AC13" s="87" t="s">
        <v>303</v>
      </c>
      <c r="AD13" s="83"/>
      <c r="AE13" s="83" t="b">
        <v>0</v>
      </c>
      <c r="AF13" s="83">
        <v>0</v>
      </c>
      <c r="AG13" s="87" t="s">
        <v>312</v>
      </c>
      <c r="AH13" s="83" t="b">
        <v>0</v>
      </c>
      <c r="AI13" s="83" t="s">
        <v>318</v>
      </c>
      <c r="AJ13" s="83"/>
      <c r="AK13" s="87" t="s">
        <v>312</v>
      </c>
      <c r="AL13" s="83" t="b">
        <v>0</v>
      </c>
      <c r="AM13" s="83">
        <v>1</v>
      </c>
      <c r="AN13" s="87" t="s">
        <v>302</v>
      </c>
      <c r="AO13" s="87" t="s">
        <v>323</v>
      </c>
      <c r="AP13" s="83" t="b">
        <v>0</v>
      </c>
      <c r="AQ13" s="87" t="s">
        <v>302</v>
      </c>
      <c r="AR13" s="83" t="s">
        <v>196</v>
      </c>
      <c r="AS13" s="83">
        <v>0</v>
      </c>
      <c r="AT13" s="83">
        <v>0</v>
      </c>
      <c r="AU13" s="83"/>
      <c r="AV13" s="83"/>
      <c r="AW13" s="83"/>
      <c r="AX13" s="83"/>
      <c r="AY13" s="83"/>
      <c r="AZ13" s="83"/>
      <c r="BA13" s="83"/>
      <c r="BB13" s="83"/>
      <c r="BC13">
        <v>1</v>
      </c>
      <c r="BD13" s="82" t="str">
        <f>REPLACE(INDEX(GroupVertices[Group],MATCH(Edges[[#This Row],[Vertex 1]],GroupVertices[Vertex],0)),1,1,"")</f>
        <v>1</v>
      </c>
      <c r="BE13" s="82" t="str">
        <f>REPLACE(INDEX(GroupVertices[Group],MATCH(Edges[[#This Row],[Vertex 2]],GroupVertices[Vertex],0)),1,1,"")</f>
        <v>1</v>
      </c>
      <c r="BF13" s="51"/>
      <c r="BG13" s="52"/>
      <c r="BH13" s="51"/>
      <c r="BI13" s="52"/>
      <c r="BJ13" s="51"/>
      <c r="BK13" s="52"/>
      <c r="BL13" s="51"/>
      <c r="BM13" s="52"/>
      <c r="BN13" s="51"/>
    </row>
    <row r="14" spans="1:66" ht="15">
      <c r="A14" s="81" t="s">
        <v>237</v>
      </c>
      <c r="B14" s="81" t="s">
        <v>247</v>
      </c>
      <c r="C14" s="53" t="s">
        <v>785</v>
      </c>
      <c r="D14" s="54">
        <v>3</v>
      </c>
      <c r="E14" s="53" t="s">
        <v>132</v>
      </c>
      <c r="F14" s="55">
        <v>32</v>
      </c>
      <c r="G14" s="53"/>
      <c r="H14" s="57"/>
      <c r="I14" s="56"/>
      <c r="J14" s="56"/>
      <c r="K14" s="36" t="s">
        <v>65</v>
      </c>
      <c r="L14" s="62">
        <v>14</v>
      </c>
      <c r="M14" s="62"/>
      <c r="N14" s="63"/>
      <c r="O14" s="83" t="s">
        <v>273</v>
      </c>
      <c r="P14" s="85">
        <v>44478.695185185185</v>
      </c>
      <c r="Q14" s="83" t="s">
        <v>280</v>
      </c>
      <c r="R14" s="83"/>
      <c r="S14" s="83"/>
      <c r="T14" s="83"/>
      <c r="U14" s="86" t="str">
        <f>HYPERLINK("https://pbs.twimg.com/media/FBRYOanX0AQOhR2.jpg")</f>
        <v>https://pbs.twimg.com/media/FBRYOanX0AQOhR2.jpg</v>
      </c>
      <c r="V14" s="86" t="str">
        <f>HYPERLINK("https://pbs.twimg.com/media/FBRYOanX0AQOhR2.jpg")</f>
        <v>https://pbs.twimg.com/media/FBRYOanX0AQOhR2.jpg</v>
      </c>
      <c r="W14" s="85">
        <v>44478.695185185185</v>
      </c>
      <c r="X14" s="90">
        <v>44478</v>
      </c>
      <c r="Y14" s="87" t="s">
        <v>292</v>
      </c>
      <c r="Z14" s="86" t="str">
        <f>HYPERLINK("https://twitter.com/naturaize/status/1446878389135106054")</f>
        <v>https://twitter.com/naturaize/status/1446878389135106054</v>
      </c>
      <c r="AA14" s="83"/>
      <c r="AB14" s="83"/>
      <c r="AC14" s="87" t="s">
        <v>302</v>
      </c>
      <c r="AD14" s="87" t="s">
        <v>309</v>
      </c>
      <c r="AE14" s="83" t="b">
        <v>0</v>
      </c>
      <c r="AF14" s="83">
        <v>6</v>
      </c>
      <c r="AG14" s="87" t="s">
        <v>314</v>
      </c>
      <c r="AH14" s="83" t="b">
        <v>0</v>
      </c>
      <c r="AI14" s="83" t="s">
        <v>318</v>
      </c>
      <c r="AJ14" s="83"/>
      <c r="AK14" s="87" t="s">
        <v>312</v>
      </c>
      <c r="AL14" s="83" t="b">
        <v>0</v>
      </c>
      <c r="AM14" s="83">
        <v>1</v>
      </c>
      <c r="AN14" s="87" t="s">
        <v>312</v>
      </c>
      <c r="AO14" s="87" t="s">
        <v>324</v>
      </c>
      <c r="AP14" s="83" t="b">
        <v>0</v>
      </c>
      <c r="AQ14" s="87" t="s">
        <v>309</v>
      </c>
      <c r="AR14" s="83" t="s">
        <v>196</v>
      </c>
      <c r="AS14" s="83">
        <v>0</v>
      </c>
      <c r="AT14" s="83">
        <v>0</v>
      </c>
      <c r="AU14" s="83"/>
      <c r="AV14" s="83"/>
      <c r="AW14" s="83"/>
      <c r="AX14" s="83"/>
      <c r="AY14" s="83"/>
      <c r="AZ14" s="83"/>
      <c r="BA14" s="83"/>
      <c r="BB14" s="83"/>
      <c r="BC14">
        <v>1</v>
      </c>
      <c r="BD14" s="82" t="str">
        <f>REPLACE(INDEX(GroupVertices[Group],MATCH(Edges[[#This Row],[Vertex 1]],GroupVertices[Vertex],0)),1,1,"")</f>
        <v>1</v>
      </c>
      <c r="BE14" s="82" t="str">
        <f>REPLACE(INDEX(GroupVertices[Group],MATCH(Edges[[#This Row],[Vertex 2]],GroupVertices[Vertex],0)),1,1,"")</f>
        <v>1</v>
      </c>
      <c r="BF14" s="51"/>
      <c r="BG14" s="52"/>
      <c r="BH14" s="51"/>
      <c r="BI14" s="52"/>
      <c r="BJ14" s="51"/>
      <c r="BK14" s="52"/>
      <c r="BL14" s="51"/>
      <c r="BM14" s="52"/>
      <c r="BN14" s="51"/>
    </row>
    <row r="15" spans="1:66" ht="15">
      <c r="A15" s="81" t="s">
        <v>238</v>
      </c>
      <c r="B15" s="81" t="s">
        <v>247</v>
      </c>
      <c r="C15" s="53" t="s">
        <v>785</v>
      </c>
      <c r="D15" s="54">
        <v>3</v>
      </c>
      <c r="E15" s="53" t="s">
        <v>132</v>
      </c>
      <c r="F15" s="55">
        <v>32</v>
      </c>
      <c r="G15" s="53"/>
      <c r="H15" s="57"/>
      <c r="I15" s="56"/>
      <c r="J15" s="56"/>
      <c r="K15" s="36" t="s">
        <v>65</v>
      </c>
      <c r="L15" s="62">
        <v>15</v>
      </c>
      <c r="M15" s="62"/>
      <c r="N15" s="63"/>
      <c r="O15" s="83" t="s">
        <v>274</v>
      </c>
      <c r="P15" s="85">
        <v>44478.70872685185</v>
      </c>
      <c r="Q15" s="83" t="s">
        <v>280</v>
      </c>
      <c r="R15" s="83"/>
      <c r="S15" s="83"/>
      <c r="T15" s="83"/>
      <c r="U15" s="86" t="str">
        <f>HYPERLINK("https://pbs.twimg.com/media/FBRYOanX0AQOhR2.jpg")</f>
        <v>https://pbs.twimg.com/media/FBRYOanX0AQOhR2.jpg</v>
      </c>
      <c r="V15" s="86" t="str">
        <f>HYPERLINK("https://pbs.twimg.com/media/FBRYOanX0AQOhR2.jpg")</f>
        <v>https://pbs.twimg.com/media/FBRYOanX0AQOhR2.jpg</v>
      </c>
      <c r="W15" s="85">
        <v>44478.70872685185</v>
      </c>
      <c r="X15" s="90">
        <v>44478</v>
      </c>
      <c r="Y15" s="87" t="s">
        <v>293</v>
      </c>
      <c r="Z15" s="86" t="str">
        <f>HYPERLINK("https://twitter.com/raaga31280/status/1446883298274250754")</f>
        <v>https://twitter.com/raaga31280/status/1446883298274250754</v>
      </c>
      <c r="AA15" s="83"/>
      <c r="AB15" s="83"/>
      <c r="AC15" s="87" t="s">
        <v>303</v>
      </c>
      <c r="AD15" s="83"/>
      <c r="AE15" s="83" t="b">
        <v>0</v>
      </c>
      <c r="AF15" s="83">
        <v>0</v>
      </c>
      <c r="AG15" s="87" t="s">
        <v>312</v>
      </c>
      <c r="AH15" s="83" t="b">
        <v>0</v>
      </c>
      <c r="AI15" s="83" t="s">
        <v>318</v>
      </c>
      <c r="AJ15" s="83"/>
      <c r="AK15" s="87" t="s">
        <v>312</v>
      </c>
      <c r="AL15" s="83" t="b">
        <v>0</v>
      </c>
      <c r="AM15" s="83">
        <v>1</v>
      </c>
      <c r="AN15" s="87" t="s">
        <v>302</v>
      </c>
      <c r="AO15" s="87" t="s">
        <v>323</v>
      </c>
      <c r="AP15" s="83" t="b">
        <v>0</v>
      </c>
      <c r="AQ15" s="87" t="s">
        <v>302</v>
      </c>
      <c r="AR15" s="83" t="s">
        <v>196</v>
      </c>
      <c r="AS15" s="83">
        <v>0</v>
      </c>
      <c r="AT15" s="83">
        <v>0</v>
      </c>
      <c r="AU15" s="83"/>
      <c r="AV15" s="83"/>
      <c r="AW15" s="83"/>
      <c r="AX15" s="83"/>
      <c r="AY15" s="83"/>
      <c r="AZ15" s="83"/>
      <c r="BA15" s="83"/>
      <c r="BB15" s="83"/>
      <c r="BC15">
        <v>1</v>
      </c>
      <c r="BD15" s="82" t="str">
        <f>REPLACE(INDEX(GroupVertices[Group],MATCH(Edges[[#This Row],[Vertex 1]],GroupVertices[Vertex],0)),1,1,"")</f>
        <v>1</v>
      </c>
      <c r="BE15" s="82" t="str">
        <f>REPLACE(INDEX(GroupVertices[Group],MATCH(Edges[[#This Row],[Vertex 2]],GroupVertices[Vertex],0)),1,1,"")</f>
        <v>1</v>
      </c>
      <c r="BF15" s="51"/>
      <c r="BG15" s="52"/>
      <c r="BH15" s="51"/>
      <c r="BI15" s="52"/>
      <c r="BJ15" s="51"/>
      <c r="BK15" s="52"/>
      <c r="BL15" s="51"/>
      <c r="BM15" s="52"/>
      <c r="BN15" s="51"/>
    </row>
    <row r="16" spans="1:66" ht="15">
      <c r="A16" s="81" t="s">
        <v>237</v>
      </c>
      <c r="B16" s="81" t="s">
        <v>248</v>
      </c>
      <c r="C16" s="53" t="s">
        <v>785</v>
      </c>
      <c r="D16" s="54">
        <v>3</v>
      </c>
      <c r="E16" s="53" t="s">
        <v>132</v>
      </c>
      <c r="F16" s="55">
        <v>32</v>
      </c>
      <c r="G16" s="53"/>
      <c r="H16" s="57"/>
      <c r="I16" s="56"/>
      <c r="J16" s="56"/>
      <c r="K16" s="36" t="s">
        <v>65</v>
      </c>
      <c r="L16" s="62">
        <v>16</v>
      </c>
      <c r="M16" s="62"/>
      <c r="N16" s="63"/>
      <c r="O16" s="83" t="s">
        <v>273</v>
      </c>
      <c r="P16" s="85">
        <v>44478.695185185185</v>
      </c>
      <c r="Q16" s="83" t="s">
        <v>280</v>
      </c>
      <c r="R16" s="83"/>
      <c r="S16" s="83"/>
      <c r="T16" s="83"/>
      <c r="U16" s="86" t="str">
        <f>HYPERLINK("https://pbs.twimg.com/media/FBRYOanX0AQOhR2.jpg")</f>
        <v>https://pbs.twimg.com/media/FBRYOanX0AQOhR2.jpg</v>
      </c>
      <c r="V16" s="86" t="str">
        <f>HYPERLINK("https://pbs.twimg.com/media/FBRYOanX0AQOhR2.jpg")</f>
        <v>https://pbs.twimg.com/media/FBRYOanX0AQOhR2.jpg</v>
      </c>
      <c r="W16" s="85">
        <v>44478.695185185185</v>
      </c>
      <c r="X16" s="90">
        <v>44478</v>
      </c>
      <c r="Y16" s="87" t="s">
        <v>292</v>
      </c>
      <c r="Z16" s="86" t="str">
        <f>HYPERLINK("https://twitter.com/naturaize/status/1446878389135106054")</f>
        <v>https://twitter.com/naturaize/status/1446878389135106054</v>
      </c>
      <c r="AA16" s="83"/>
      <c r="AB16" s="83"/>
      <c r="AC16" s="87" t="s">
        <v>302</v>
      </c>
      <c r="AD16" s="87" t="s">
        <v>309</v>
      </c>
      <c r="AE16" s="83" t="b">
        <v>0</v>
      </c>
      <c r="AF16" s="83">
        <v>6</v>
      </c>
      <c r="AG16" s="87" t="s">
        <v>314</v>
      </c>
      <c r="AH16" s="83" t="b">
        <v>0</v>
      </c>
      <c r="AI16" s="83" t="s">
        <v>318</v>
      </c>
      <c r="AJ16" s="83"/>
      <c r="AK16" s="87" t="s">
        <v>312</v>
      </c>
      <c r="AL16" s="83" t="b">
        <v>0</v>
      </c>
      <c r="AM16" s="83">
        <v>1</v>
      </c>
      <c r="AN16" s="87" t="s">
        <v>312</v>
      </c>
      <c r="AO16" s="87" t="s">
        <v>324</v>
      </c>
      <c r="AP16" s="83" t="b">
        <v>0</v>
      </c>
      <c r="AQ16" s="87" t="s">
        <v>309</v>
      </c>
      <c r="AR16" s="83" t="s">
        <v>196</v>
      </c>
      <c r="AS16" s="83">
        <v>0</v>
      </c>
      <c r="AT16" s="83">
        <v>0</v>
      </c>
      <c r="AU16" s="83"/>
      <c r="AV16" s="83"/>
      <c r="AW16" s="83"/>
      <c r="AX16" s="83"/>
      <c r="AY16" s="83"/>
      <c r="AZ16" s="83"/>
      <c r="BA16" s="83"/>
      <c r="BB16" s="83"/>
      <c r="BC16">
        <v>1</v>
      </c>
      <c r="BD16" s="82" t="str">
        <f>REPLACE(INDEX(GroupVertices[Group],MATCH(Edges[[#This Row],[Vertex 1]],GroupVertices[Vertex],0)),1,1,"")</f>
        <v>1</v>
      </c>
      <c r="BE16" s="82" t="str">
        <f>REPLACE(INDEX(GroupVertices[Group],MATCH(Edges[[#This Row],[Vertex 2]],GroupVertices[Vertex],0)),1,1,"")</f>
        <v>1</v>
      </c>
      <c r="BF16" s="51"/>
      <c r="BG16" s="52"/>
      <c r="BH16" s="51"/>
      <c r="BI16" s="52"/>
      <c r="BJ16" s="51"/>
      <c r="BK16" s="52"/>
      <c r="BL16" s="51"/>
      <c r="BM16" s="52"/>
      <c r="BN16" s="51"/>
    </row>
    <row r="17" spans="1:66" ht="15">
      <c r="A17" s="81" t="s">
        <v>238</v>
      </c>
      <c r="B17" s="81" t="s">
        <v>248</v>
      </c>
      <c r="C17" s="53" t="s">
        <v>785</v>
      </c>
      <c r="D17" s="54">
        <v>3</v>
      </c>
      <c r="E17" s="53" t="s">
        <v>132</v>
      </c>
      <c r="F17" s="55">
        <v>32</v>
      </c>
      <c r="G17" s="53"/>
      <c r="H17" s="57"/>
      <c r="I17" s="56"/>
      <c r="J17" s="56"/>
      <c r="K17" s="36" t="s">
        <v>65</v>
      </c>
      <c r="L17" s="62">
        <v>17</v>
      </c>
      <c r="M17" s="62"/>
      <c r="N17" s="63"/>
      <c r="O17" s="83" t="s">
        <v>274</v>
      </c>
      <c r="P17" s="85">
        <v>44478.70872685185</v>
      </c>
      <c r="Q17" s="83" t="s">
        <v>280</v>
      </c>
      <c r="R17" s="83"/>
      <c r="S17" s="83"/>
      <c r="T17" s="83"/>
      <c r="U17" s="86" t="str">
        <f>HYPERLINK("https://pbs.twimg.com/media/FBRYOanX0AQOhR2.jpg")</f>
        <v>https://pbs.twimg.com/media/FBRYOanX0AQOhR2.jpg</v>
      </c>
      <c r="V17" s="86" t="str">
        <f>HYPERLINK("https://pbs.twimg.com/media/FBRYOanX0AQOhR2.jpg")</f>
        <v>https://pbs.twimg.com/media/FBRYOanX0AQOhR2.jpg</v>
      </c>
      <c r="W17" s="85">
        <v>44478.70872685185</v>
      </c>
      <c r="X17" s="90">
        <v>44478</v>
      </c>
      <c r="Y17" s="87" t="s">
        <v>293</v>
      </c>
      <c r="Z17" s="86" t="str">
        <f>HYPERLINK("https://twitter.com/raaga31280/status/1446883298274250754")</f>
        <v>https://twitter.com/raaga31280/status/1446883298274250754</v>
      </c>
      <c r="AA17" s="83"/>
      <c r="AB17" s="83"/>
      <c r="AC17" s="87" t="s">
        <v>303</v>
      </c>
      <c r="AD17" s="83"/>
      <c r="AE17" s="83" t="b">
        <v>0</v>
      </c>
      <c r="AF17" s="83">
        <v>0</v>
      </c>
      <c r="AG17" s="87" t="s">
        <v>312</v>
      </c>
      <c r="AH17" s="83" t="b">
        <v>0</v>
      </c>
      <c r="AI17" s="83" t="s">
        <v>318</v>
      </c>
      <c r="AJ17" s="83"/>
      <c r="AK17" s="87" t="s">
        <v>312</v>
      </c>
      <c r="AL17" s="83" t="b">
        <v>0</v>
      </c>
      <c r="AM17" s="83">
        <v>1</v>
      </c>
      <c r="AN17" s="87" t="s">
        <v>302</v>
      </c>
      <c r="AO17" s="87" t="s">
        <v>323</v>
      </c>
      <c r="AP17" s="83" t="b">
        <v>0</v>
      </c>
      <c r="AQ17" s="87" t="s">
        <v>302</v>
      </c>
      <c r="AR17" s="83" t="s">
        <v>196</v>
      </c>
      <c r="AS17" s="83">
        <v>0</v>
      </c>
      <c r="AT17" s="83">
        <v>0</v>
      </c>
      <c r="AU17" s="83"/>
      <c r="AV17" s="83"/>
      <c r="AW17" s="83"/>
      <c r="AX17" s="83"/>
      <c r="AY17" s="83"/>
      <c r="AZ17" s="83"/>
      <c r="BA17" s="83"/>
      <c r="BB17" s="83"/>
      <c r="BC17">
        <v>1</v>
      </c>
      <c r="BD17" s="82" t="str">
        <f>REPLACE(INDEX(GroupVertices[Group],MATCH(Edges[[#This Row],[Vertex 1]],GroupVertices[Vertex],0)),1,1,"")</f>
        <v>1</v>
      </c>
      <c r="BE17" s="82" t="str">
        <f>REPLACE(INDEX(GroupVertices[Group],MATCH(Edges[[#This Row],[Vertex 2]],GroupVertices[Vertex],0)),1,1,"")</f>
        <v>1</v>
      </c>
      <c r="BF17" s="51"/>
      <c r="BG17" s="52"/>
      <c r="BH17" s="51"/>
      <c r="BI17" s="52"/>
      <c r="BJ17" s="51"/>
      <c r="BK17" s="52"/>
      <c r="BL17" s="51"/>
      <c r="BM17" s="52"/>
      <c r="BN17" s="51"/>
    </row>
    <row r="18" spans="1:66" ht="15">
      <c r="A18" s="81" t="s">
        <v>237</v>
      </c>
      <c r="B18" s="81" t="s">
        <v>249</v>
      </c>
      <c r="C18" s="53" t="s">
        <v>785</v>
      </c>
      <c r="D18" s="54">
        <v>3</v>
      </c>
      <c r="E18" s="53" t="s">
        <v>132</v>
      </c>
      <c r="F18" s="55">
        <v>32</v>
      </c>
      <c r="G18" s="53"/>
      <c r="H18" s="57"/>
      <c r="I18" s="56"/>
      <c r="J18" s="56"/>
      <c r="K18" s="36" t="s">
        <v>65</v>
      </c>
      <c r="L18" s="62">
        <v>18</v>
      </c>
      <c r="M18" s="62"/>
      <c r="N18" s="63"/>
      <c r="O18" s="83" t="s">
        <v>273</v>
      </c>
      <c r="P18" s="85">
        <v>44478.695185185185</v>
      </c>
      <c r="Q18" s="83" t="s">
        <v>280</v>
      </c>
      <c r="R18" s="83"/>
      <c r="S18" s="83"/>
      <c r="T18" s="83"/>
      <c r="U18" s="86" t="str">
        <f>HYPERLINK("https://pbs.twimg.com/media/FBRYOanX0AQOhR2.jpg")</f>
        <v>https://pbs.twimg.com/media/FBRYOanX0AQOhR2.jpg</v>
      </c>
      <c r="V18" s="86" t="str">
        <f>HYPERLINK("https://pbs.twimg.com/media/FBRYOanX0AQOhR2.jpg")</f>
        <v>https://pbs.twimg.com/media/FBRYOanX0AQOhR2.jpg</v>
      </c>
      <c r="W18" s="85">
        <v>44478.695185185185</v>
      </c>
      <c r="X18" s="90">
        <v>44478</v>
      </c>
      <c r="Y18" s="87" t="s">
        <v>292</v>
      </c>
      <c r="Z18" s="86" t="str">
        <f>HYPERLINK("https://twitter.com/naturaize/status/1446878389135106054")</f>
        <v>https://twitter.com/naturaize/status/1446878389135106054</v>
      </c>
      <c r="AA18" s="83"/>
      <c r="AB18" s="83"/>
      <c r="AC18" s="87" t="s">
        <v>302</v>
      </c>
      <c r="AD18" s="87" t="s">
        <v>309</v>
      </c>
      <c r="AE18" s="83" t="b">
        <v>0</v>
      </c>
      <c r="AF18" s="83">
        <v>6</v>
      </c>
      <c r="AG18" s="87" t="s">
        <v>314</v>
      </c>
      <c r="AH18" s="83" t="b">
        <v>0</v>
      </c>
      <c r="AI18" s="83" t="s">
        <v>318</v>
      </c>
      <c r="AJ18" s="83"/>
      <c r="AK18" s="87" t="s">
        <v>312</v>
      </c>
      <c r="AL18" s="83" t="b">
        <v>0</v>
      </c>
      <c r="AM18" s="83">
        <v>1</v>
      </c>
      <c r="AN18" s="87" t="s">
        <v>312</v>
      </c>
      <c r="AO18" s="87" t="s">
        <v>324</v>
      </c>
      <c r="AP18" s="83" t="b">
        <v>0</v>
      </c>
      <c r="AQ18" s="87" t="s">
        <v>309</v>
      </c>
      <c r="AR18" s="83" t="s">
        <v>196</v>
      </c>
      <c r="AS18" s="83">
        <v>0</v>
      </c>
      <c r="AT18" s="83">
        <v>0</v>
      </c>
      <c r="AU18" s="83"/>
      <c r="AV18" s="83"/>
      <c r="AW18" s="83"/>
      <c r="AX18" s="83"/>
      <c r="AY18" s="83"/>
      <c r="AZ18" s="83"/>
      <c r="BA18" s="83"/>
      <c r="BB18" s="83"/>
      <c r="BC18">
        <v>1</v>
      </c>
      <c r="BD18" s="82" t="str">
        <f>REPLACE(INDEX(GroupVertices[Group],MATCH(Edges[[#This Row],[Vertex 1]],GroupVertices[Vertex],0)),1,1,"")</f>
        <v>1</v>
      </c>
      <c r="BE18" s="82" t="str">
        <f>REPLACE(INDEX(GroupVertices[Group],MATCH(Edges[[#This Row],[Vertex 2]],GroupVertices[Vertex],0)),1,1,"")</f>
        <v>1</v>
      </c>
      <c r="BF18" s="51"/>
      <c r="BG18" s="52"/>
      <c r="BH18" s="51"/>
      <c r="BI18" s="52"/>
      <c r="BJ18" s="51"/>
      <c r="BK18" s="52"/>
      <c r="BL18" s="51"/>
      <c r="BM18" s="52"/>
      <c r="BN18" s="51"/>
    </row>
    <row r="19" spans="1:66" ht="15">
      <c r="A19" s="81" t="s">
        <v>238</v>
      </c>
      <c r="B19" s="81" t="s">
        <v>249</v>
      </c>
      <c r="C19" s="53" t="s">
        <v>785</v>
      </c>
      <c r="D19" s="54">
        <v>3</v>
      </c>
      <c r="E19" s="53" t="s">
        <v>132</v>
      </c>
      <c r="F19" s="55">
        <v>32</v>
      </c>
      <c r="G19" s="53"/>
      <c r="H19" s="57"/>
      <c r="I19" s="56"/>
      <c r="J19" s="56"/>
      <c r="K19" s="36" t="s">
        <v>65</v>
      </c>
      <c r="L19" s="62">
        <v>19</v>
      </c>
      <c r="M19" s="62"/>
      <c r="N19" s="63"/>
      <c r="O19" s="83" t="s">
        <v>274</v>
      </c>
      <c r="P19" s="85">
        <v>44478.70872685185</v>
      </c>
      <c r="Q19" s="83" t="s">
        <v>280</v>
      </c>
      <c r="R19" s="83"/>
      <c r="S19" s="83"/>
      <c r="T19" s="83"/>
      <c r="U19" s="86" t="str">
        <f>HYPERLINK("https://pbs.twimg.com/media/FBRYOanX0AQOhR2.jpg")</f>
        <v>https://pbs.twimg.com/media/FBRYOanX0AQOhR2.jpg</v>
      </c>
      <c r="V19" s="86" t="str">
        <f>HYPERLINK("https://pbs.twimg.com/media/FBRYOanX0AQOhR2.jpg")</f>
        <v>https://pbs.twimg.com/media/FBRYOanX0AQOhR2.jpg</v>
      </c>
      <c r="W19" s="85">
        <v>44478.70872685185</v>
      </c>
      <c r="X19" s="90">
        <v>44478</v>
      </c>
      <c r="Y19" s="87" t="s">
        <v>293</v>
      </c>
      <c r="Z19" s="86" t="str">
        <f>HYPERLINK("https://twitter.com/raaga31280/status/1446883298274250754")</f>
        <v>https://twitter.com/raaga31280/status/1446883298274250754</v>
      </c>
      <c r="AA19" s="83"/>
      <c r="AB19" s="83"/>
      <c r="AC19" s="87" t="s">
        <v>303</v>
      </c>
      <c r="AD19" s="83"/>
      <c r="AE19" s="83" t="b">
        <v>0</v>
      </c>
      <c r="AF19" s="83">
        <v>0</v>
      </c>
      <c r="AG19" s="87" t="s">
        <v>312</v>
      </c>
      <c r="AH19" s="83" t="b">
        <v>0</v>
      </c>
      <c r="AI19" s="83" t="s">
        <v>318</v>
      </c>
      <c r="AJ19" s="83"/>
      <c r="AK19" s="87" t="s">
        <v>312</v>
      </c>
      <c r="AL19" s="83" t="b">
        <v>0</v>
      </c>
      <c r="AM19" s="83">
        <v>1</v>
      </c>
      <c r="AN19" s="87" t="s">
        <v>302</v>
      </c>
      <c r="AO19" s="87" t="s">
        <v>323</v>
      </c>
      <c r="AP19" s="83" t="b">
        <v>0</v>
      </c>
      <c r="AQ19" s="87" t="s">
        <v>302</v>
      </c>
      <c r="AR19" s="83" t="s">
        <v>196</v>
      </c>
      <c r="AS19" s="83">
        <v>0</v>
      </c>
      <c r="AT19" s="83">
        <v>0</v>
      </c>
      <c r="AU19" s="83"/>
      <c r="AV19" s="83"/>
      <c r="AW19" s="83"/>
      <c r="AX19" s="83"/>
      <c r="AY19" s="83"/>
      <c r="AZ19" s="83"/>
      <c r="BA19" s="83"/>
      <c r="BB19" s="83"/>
      <c r="BC19">
        <v>1</v>
      </c>
      <c r="BD19" s="82" t="str">
        <f>REPLACE(INDEX(GroupVertices[Group],MATCH(Edges[[#This Row],[Vertex 1]],GroupVertices[Vertex],0)),1,1,"")</f>
        <v>1</v>
      </c>
      <c r="BE19" s="82" t="str">
        <f>REPLACE(INDEX(GroupVertices[Group],MATCH(Edges[[#This Row],[Vertex 2]],GroupVertices[Vertex],0)),1,1,"")</f>
        <v>1</v>
      </c>
      <c r="BF19" s="51"/>
      <c r="BG19" s="52"/>
      <c r="BH19" s="51"/>
      <c r="BI19" s="52"/>
      <c r="BJ19" s="51"/>
      <c r="BK19" s="52"/>
      <c r="BL19" s="51"/>
      <c r="BM19" s="52"/>
      <c r="BN19" s="51"/>
    </row>
    <row r="20" spans="1:66" ht="15">
      <c r="A20" s="81" t="s">
        <v>237</v>
      </c>
      <c r="B20" s="81" t="s">
        <v>250</v>
      </c>
      <c r="C20" s="53" t="s">
        <v>785</v>
      </c>
      <c r="D20" s="54">
        <v>3</v>
      </c>
      <c r="E20" s="53" t="s">
        <v>132</v>
      </c>
      <c r="F20" s="55">
        <v>32</v>
      </c>
      <c r="G20" s="53"/>
      <c r="H20" s="57"/>
      <c r="I20" s="56"/>
      <c r="J20" s="56"/>
      <c r="K20" s="36" t="s">
        <v>65</v>
      </c>
      <c r="L20" s="62">
        <v>20</v>
      </c>
      <c r="M20" s="62"/>
      <c r="N20" s="63"/>
      <c r="O20" s="83" t="s">
        <v>273</v>
      </c>
      <c r="P20" s="85">
        <v>44478.695185185185</v>
      </c>
      <c r="Q20" s="83" t="s">
        <v>280</v>
      </c>
      <c r="R20" s="83"/>
      <c r="S20" s="83"/>
      <c r="T20" s="83"/>
      <c r="U20" s="86" t="str">
        <f>HYPERLINK("https://pbs.twimg.com/media/FBRYOanX0AQOhR2.jpg")</f>
        <v>https://pbs.twimg.com/media/FBRYOanX0AQOhR2.jpg</v>
      </c>
      <c r="V20" s="86" t="str">
        <f>HYPERLINK("https://pbs.twimg.com/media/FBRYOanX0AQOhR2.jpg")</f>
        <v>https://pbs.twimg.com/media/FBRYOanX0AQOhR2.jpg</v>
      </c>
      <c r="W20" s="85">
        <v>44478.695185185185</v>
      </c>
      <c r="X20" s="90">
        <v>44478</v>
      </c>
      <c r="Y20" s="87" t="s">
        <v>292</v>
      </c>
      <c r="Z20" s="86" t="str">
        <f>HYPERLINK("https://twitter.com/naturaize/status/1446878389135106054")</f>
        <v>https://twitter.com/naturaize/status/1446878389135106054</v>
      </c>
      <c r="AA20" s="83"/>
      <c r="AB20" s="83"/>
      <c r="AC20" s="87" t="s">
        <v>302</v>
      </c>
      <c r="AD20" s="87" t="s">
        <v>309</v>
      </c>
      <c r="AE20" s="83" t="b">
        <v>0</v>
      </c>
      <c r="AF20" s="83">
        <v>6</v>
      </c>
      <c r="AG20" s="87" t="s">
        <v>314</v>
      </c>
      <c r="AH20" s="83" t="b">
        <v>0</v>
      </c>
      <c r="AI20" s="83" t="s">
        <v>318</v>
      </c>
      <c r="AJ20" s="83"/>
      <c r="AK20" s="87" t="s">
        <v>312</v>
      </c>
      <c r="AL20" s="83" t="b">
        <v>0</v>
      </c>
      <c r="AM20" s="83">
        <v>1</v>
      </c>
      <c r="AN20" s="87" t="s">
        <v>312</v>
      </c>
      <c r="AO20" s="87" t="s">
        <v>324</v>
      </c>
      <c r="AP20" s="83" t="b">
        <v>0</v>
      </c>
      <c r="AQ20" s="87" t="s">
        <v>309</v>
      </c>
      <c r="AR20" s="83" t="s">
        <v>196</v>
      </c>
      <c r="AS20" s="83">
        <v>0</v>
      </c>
      <c r="AT20" s="83">
        <v>0</v>
      </c>
      <c r="AU20" s="83"/>
      <c r="AV20" s="83"/>
      <c r="AW20" s="83"/>
      <c r="AX20" s="83"/>
      <c r="AY20" s="83"/>
      <c r="AZ20" s="83"/>
      <c r="BA20" s="83"/>
      <c r="BB20" s="83"/>
      <c r="BC20">
        <v>1</v>
      </c>
      <c r="BD20" s="82" t="str">
        <f>REPLACE(INDEX(GroupVertices[Group],MATCH(Edges[[#This Row],[Vertex 1]],GroupVertices[Vertex],0)),1,1,"")</f>
        <v>1</v>
      </c>
      <c r="BE20" s="82" t="str">
        <f>REPLACE(INDEX(GroupVertices[Group],MATCH(Edges[[#This Row],[Vertex 2]],GroupVertices[Vertex],0)),1,1,"")</f>
        <v>1</v>
      </c>
      <c r="BF20" s="51"/>
      <c r="BG20" s="52"/>
      <c r="BH20" s="51"/>
      <c r="BI20" s="52"/>
      <c r="BJ20" s="51"/>
      <c r="BK20" s="52"/>
      <c r="BL20" s="51"/>
      <c r="BM20" s="52"/>
      <c r="BN20" s="51"/>
    </row>
    <row r="21" spans="1:66" ht="15">
      <c r="A21" s="81" t="s">
        <v>238</v>
      </c>
      <c r="B21" s="81" t="s">
        <v>250</v>
      </c>
      <c r="C21" s="53" t="s">
        <v>785</v>
      </c>
      <c r="D21" s="54">
        <v>3</v>
      </c>
      <c r="E21" s="53" t="s">
        <v>132</v>
      </c>
      <c r="F21" s="55">
        <v>32</v>
      </c>
      <c r="G21" s="53"/>
      <c r="H21" s="57"/>
      <c r="I21" s="56"/>
      <c r="J21" s="56"/>
      <c r="K21" s="36" t="s">
        <v>65</v>
      </c>
      <c r="L21" s="62">
        <v>21</v>
      </c>
      <c r="M21" s="62"/>
      <c r="N21" s="63"/>
      <c r="O21" s="83" t="s">
        <v>274</v>
      </c>
      <c r="P21" s="85">
        <v>44478.70872685185</v>
      </c>
      <c r="Q21" s="83" t="s">
        <v>280</v>
      </c>
      <c r="R21" s="83"/>
      <c r="S21" s="83"/>
      <c r="T21" s="83"/>
      <c r="U21" s="86" t="str">
        <f>HYPERLINK("https://pbs.twimg.com/media/FBRYOanX0AQOhR2.jpg")</f>
        <v>https://pbs.twimg.com/media/FBRYOanX0AQOhR2.jpg</v>
      </c>
      <c r="V21" s="86" t="str">
        <f>HYPERLINK("https://pbs.twimg.com/media/FBRYOanX0AQOhR2.jpg")</f>
        <v>https://pbs.twimg.com/media/FBRYOanX0AQOhR2.jpg</v>
      </c>
      <c r="W21" s="85">
        <v>44478.70872685185</v>
      </c>
      <c r="X21" s="90">
        <v>44478</v>
      </c>
      <c r="Y21" s="87" t="s">
        <v>293</v>
      </c>
      <c r="Z21" s="86" t="str">
        <f>HYPERLINK("https://twitter.com/raaga31280/status/1446883298274250754")</f>
        <v>https://twitter.com/raaga31280/status/1446883298274250754</v>
      </c>
      <c r="AA21" s="83"/>
      <c r="AB21" s="83"/>
      <c r="AC21" s="87" t="s">
        <v>303</v>
      </c>
      <c r="AD21" s="83"/>
      <c r="AE21" s="83" t="b">
        <v>0</v>
      </c>
      <c r="AF21" s="83">
        <v>0</v>
      </c>
      <c r="AG21" s="87" t="s">
        <v>312</v>
      </c>
      <c r="AH21" s="83" t="b">
        <v>0</v>
      </c>
      <c r="AI21" s="83" t="s">
        <v>318</v>
      </c>
      <c r="AJ21" s="83"/>
      <c r="AK21" s="87" t="s">
        <v>312</v>
      </c>
      <c r="AL21" s="83" t="b">
        <v>0</v>
      </c>
      <c r="AM21" s="83">
        <v>1</v>
      </c>
      <c r="AN21" s="87" t="s">
        <v>302</v>
      </c>
      <c r="AO21" s="87" t="s">
        <v>323</v>
      </c>
      <c r="AP21" s="83" t="b">
        <v>0</v>
      </c>
      <c r="AQ21" s="87" t="s">
        <v>302</v>
      </c>
      <c r="AR21" s="83" t="s">
        <v>196</v>
      </c>
      <c r="AS21" s="83">
        <v>0</v>
      </c>
      <c r="AT21" s="83">
        <v>0</v>
      </c>
      <c r="AU21" s="83"/>
      <c r="AV21" s="83"/>
      <c r="AW21" s="83"/>
      <c r="AX21" s="83"/>
      <c r="AY21" s="83"/>
      <c r="AZ21" s="83"/>
      <c r="BA21" s="83"/>
      <c r="BB21" s="83"/>
      <c r="BC21">
        <v>1</v>
      </c>
      <c r="BD21" s="82" t="str">
        <f>REPLACE(INDEX(GroupVertices[Group],MATCH(Edges[[#This Row],[Vertex 1]],GroupVertices[Vertex],0)),1,1,"")</f>
        <v>1</v>
      </c>
      <c r="BE21" s="82" t="str">
        <f>REPLACE(INDEX(GroupVertices[Group],MATCH(Edges[[#This Row],[Vertex 2]],GroupVertices[Vertex],0)),1,1,"")</f>
        <v>1</v>
      </c>
      <c r="BF21" s="51"/>
      <c r="BG21" s="52"/>
      <c r="BH21" s="51"/>
      <c r="BI21" s="52"/>
      <c r="BJ21" s="51"/>
      <c r="BK21" s="52"/>
      <c r="BL21" s="51"/>
      <c r="BM21" s="52"/>
      <c r="BN21" s="51"/>
    </row>
    <row r="22" spans="1:66" ht="15">
      <c r="A22" s="81" t="s">
        <v>237</v>
      </c>
      <c r="B22" s="81" t="s">
        <v>251</v>
      </c>
      <c r="C22" s="53" t="s">
        <v>785</v>
      </c>
      <c r="D22" s="54">
        <v>3</v>
      </c>
      <c r="E22" s="53" t="s">
        <v>132</v>
      </c>
      <c r="F22" s="55">
        <v>32</v>
      </c>
      <c r="G22" s="53"/>
      <c r="H22" s="57"/>
      <c r="I22" s="56"/>
      <c r="J22" s="56"/>
      <c r="K22" s="36" t="s">
        <v>65</v>
      </c>
      <c r="L22" s="62">
        <v>22</v>
      </c>
      <c r="M22" s="62"/>
      <c r="N22" s="63"/>
      <c r="O22" s="83" t="s">
        <v>273</v>
      </c>
      <c r="P22" s="85">
        <v>44478.695185185185</v>
      </c>
      <c r="Q22" s="83" t="s">
        <v>280</v>
      </c>
      <c r="R22" s="83"/>
      <c r="S22" s="83"/>
      <c r="T22" s="83"/>
      <c r="U22" s="86" t="str">
        <f>HYPERLINK("https://pbs.twimg.com/media/FBRYOanX0AQOhR2.jpg")</f>
        <v>https://pbs.twimg.com/media/FBRYOanX0AQOhR2.jpg</v>
      </c>
      <c r="V22" s="86" t="str">
        <f>HYPERLINK("https://pbs.twimg.com/media/FBRYOanX0AQOhR2.jpg")</f>
        <v>https://pbs.twimg.com/media/FBRYOanX0AQOhR2.jpg</v>
      </c>
      <c r="W22" s="85">
        <v>44478.695185185185</v>
      </c>
      <c r="X22" s="90">
        <v>44478</v>
      </c>
      <c r="Y22" s="87" t="s">
        <v>292</v>
      </c>
      <c r="Z22" s="86" t="str">
        <f>HYPERLINK("https://twitter.com/naturaize/status/1446878389135106054")</f>
        <v>https://twitter.com/naturaize/status/1446878389135106054</v>
      </c>
      <c r="AA22" s="83"/>
      <c r="AB22" s="83"/>
      <c r="AC22" s="87" t="s">
        <v>302</v>
      </c>
      <c r="AD22" s="87" t="s">
        <v>309</v>
      </c>
      <c r="AE22" s="83" t="b">
        <v>0</v>
      </c>
      <c r="AF22" s="83">
        <v>6</v>
      </c>
      <c r="AG22" s="87" t="s">
        <v>314</v>
      </c>
      <c r="AH22" s="83" t="b">
        <v>0</v>
      </c>
      <c r="AI22" s="83" t="s">
        <v>318</v>
      </c>
      <c r="AJ22" s="83"/>
      <c r="AK22" s="87" t="s">
        <v>312</v>
      </c>
      <c r="AL22" s="83" t="b">
        <v>0</v>
      </c>
      <c r="AM22" s="83">
        <v>1</v>
      </c>
      <c r="AN22" s="87" t="s">
        <v>312</v>
      </c>
      <c r="AO22" s="87" t="s">
        <v>324</v>
      </c>
      <c r="AP22" s="83" t="b">
        <v>0</v>
      </c>
      <c r="AQ22" s="87" t="s">
        <v>309</v>
      </c>
      <c r="AR22" s="83" t="s">
        <v>196</v>
      </c>
      <c r="AS22" s="83">
        <v>0</v>
      </c>
      <c r="AT22" s="83">
        <v>0</v>
      </c>
      <c r="AU22" s="83"/>
      <c r="AV22" s="83"/>
      <c r="AW22" s="83"/>
      <c r="AX22" s="83"/>
      <c r="AY22" s="83"/>
      <c r="AZ22" s="83"/>
      <c r="BA22" s="83"/>
      <c r="BB22" s="83"/>
      <c r="BC22">
        <v>1</v>
      </c>
      <c r="BD22" s="82" t="str">
        <f>REPLACE(INDEX(GroupVertices[Group],MATCH(Edges[[#This Row],[Vertex 1]],GroupVertices[Vertex],0)),1,1,"")</f>
        <v>1</v>
      </c>
      <c r="BE22" s="82" t="str">
        <f>REPLACE(INDEX(GroupVertices[Group],MATCH(Edges[[#This Row],[Vertex 2]],GroupVertices[Vertex],0)),1,1,"")</f>
        <v>1</v>
      </c>
      <c r="BF22" s="51"/>
      <c r="BG22" s="52"/>
      <c r="BH22" s="51"/>
      <c r="BI22" s="52"/>
      <c r="BJ22" s="51"/>
      <c r="BK22" s="52"/>
      <c r="BL22" s="51"/>
      <c r="BM22" s="52"/>
      <c r="BN22" s="51"/>
    </row>
    <row r="23" spans="1:66" ht="15">
      <c r="A23" s="81" t="s">
        <v>238</v>
      </c>
      <c r="B23" s="81" t="s">
        <v>251</v>
      </c>
      <c r="C23" s="53" t="s">
        <v>785</v>
      </c>
      <c r="D23" s="54">
        <v>3</v>
      </c>
      <c r="E23" s="53" t="s">
        <v>132</v>
      </c>
      <c r="F23" s="55">
        <v>32</v>
      </c>
      <c r="G23" s="53"/>
      <c r="H23" s="57"/>
      <c r="I23" s="56"/>
      <c r="J23" s="56"/>
      <c r="K23" s="36" t="s">
        <v>65</v>
      </c>
      <c r="L23" s="62">
        <v>23</v>
      </c>
      <c r="M23" s="62"/>
      <c r="N23" s="63"/>
      <c r="O23" s="83" t="s">
        <v>274</v>
      </c>
      <c r="P23" s="85">
        <v>44478.70872685185</v>
      </c>
      <c r="Q23" s="83" t="s">
        <v>280</v>
      </c>
      <c r="R23" s="83"/>
      <c r="S23" s="83"/>
      <c r="T23" s="83"/>
      <c r="U23" s="86" t="str">
        <f>HYPERLINK("https://pbs.twimg.com/media/FBRYOanX0AQOhR2.jpg")</f>
        <v>https://pbs.twimg.com/media/FBRYOanX0AQOhR2.jpg</v>
      </c>
      <c r="V23" s="86" t="str">
        <f>HYPERLINK("https://pbs.twimg.com/media/FBRYOanX0AQOhR2.jpg")</f>
        <v>https://pbs.twimg.com/media/FBRYOanX0AQOhR2.jpg</v>
      </c>
      <c r="W23" s="85">
        <v>44478.70872685185</v>
      </c>
      <c r="X23" s="90">
        <v>44478</v>
      </c>
      <c r="Y23" s="87" t="s">
        <v>293</v>
      </c>
      <c r="Z23" s="86" t="str">
        <f>HYPERLINK("https://twitter.com/raaga31280/status/1446883298274250754")</f>
        <v>https://twitter.com/raaga31280/status/1446883298274250754</v>
      </c>
      <c r="AA23" s="83"/>
      <c r="AB23" s="83"/>
      <c r="AC23" s="87" t="s">
        <v>303</v>
      </c>
      <c r="AD23" s="83"/>
      <c r="AE23" s="83" t="b">
        <v>0</v>
      </c>
      <c r="AF23" s="83">
        <v>0</v>
      </c>
      <c r="AG23" s="87" t="s">
        <v>312</v>
      </c>
      <c r="AH23" s="83" t="b">
        <v>0</v>
      </c>
      <c r="AI23" s="83" t="s">
        <v>318</v>
      </c>
      <c r="AJ23" s="83"/>
      <c r="AK23" s="87" t="s">
        <v>312</v>
      </c>
      <c r="AL23" s="83" t="b">
        <v>0</v>
      </c>
      <c r="AM23" s="83">
        <v>1</v>
      </c>
      <c r="AN23" s="87" t="s">
        <v>302</v>
      </c>
      <c r="AO23" s="87" t="s">
        <v>323</v>
      </c>
      <c r="AP23" s="83" t="b">
        <v>0</v>
      </c>
      <c r="AQ23" s="87" t="s">
        <v>302</v>
      </c>
      <c r="AR23" s="83" t="s">
        <v>196</v>
      </c>
      <c r="AS23" s="83">
        <v>0</v>
      </c>
      <c r="AT23" s="83">
        <v>0</v>
      </c>
      <c r="AU23" s="83"/>
      <c r="AV23" s="83"/>
      <c r="AW23" s="83"/>
      <c r="AX23" s="83"/>
      <c r="AY23" s="83"/>
      <c r="AZ23" s="83"/>
      <c r="BA23" s="83"/>
      <c r="BB23" s="83"/>
      <c r="BC23">
        <v>1</v>
      </c>
      <c r="BD23" s="82" t="str">
        <f>REPLACE(INDEX(GroupVertices[Group],MATCH(Edges[[#This Row],[Vertex 1]],GroupVertices[Vertex],0)),1,1,"")</f>
        <v>1</v>
      </c>
      <c r="BE23" s="82" t="str">
        <f>REPLACE(INDEX(GroupVertices[Group],MATCH(Edges[[#This Row],[Vertex 2]],GroupVertices[Vertex],0)),1,1,"")</f>
        <v>1</v>
      </c>
      <c r="BF23" s="51"/>
      <c r="BG23" s="52"/>
      <c r="BH23" s="51"/>
      <c r="BI23" s="52"/>
      <c r="BJ23" s="51"/>
      <c r="BK23" s="52"/>
      <c r="BL23" s="51"/>
      <c r="BM23" s="52"/>
      <c r="BN23" s="51"/>
    </row>
    <row r="24" spans="1:66" ht="15">
      <c r="A24" s="81" t="s">
        <v>237</v>
      </c>
      <c r="B24" s="81" t="s">
        <v>252</v>
      </c>
      <c r="C24" s="53" t="s">
        <v>785</v>
      </c>
      <c r="D24" s="54">
        <v>3</v>
      </c>
      <c r="E24" s="53" t="s">
        <v>132</v>
      </c>
      <c r="F24" s="55">
        <v>32</v>
      </c>
      <c r="G24" s="53"/>
      <c r="H24" s="57"/>
      <c r="I24" s="56"/>
      <c r="J24" s="56"/>
      <c r="K24" s="36" t="s">
        <v>65</v>
      </c>
      <c r="L24" s="62">
        <v>24</v>
      </c>
      <c r="M24" s="62"/>
      <c r="N24" s="63"/>
      <c r="O24" s="83" t="s">
        <v>273</v>
      </c>
      <c r="P24" s="85">
        <v>44478.695185185185</v>
      </c>
      <c r="Q24" s="83" t="s">
        <v>280</v>
      </c>
      <c r="R24" s="83"/>
      <c r="S24" s="83"/>
      <c r="T24" s="83"/>
      <c r="U24" s="86" t="str">
        <f>HYPERLINK("https://pbs.twimg.com/media/FBRYOanX0AQOhR2.jpg")</f>
        <v>https://pbs.twimg.com/media/FBRYOanX0AQOhR2.jpg</v>
      </c>
      <c r="V24" s="86" t="str">
        <f>HYPERLINK("https://pbs.twimg.com/media/FBRYOanX0AQOhR2.jpg")</f>
        <v>https://pbs.twimg.com/media/FBRYOanX0AQOhR2.jpg</v>
      </c>
      <c r="W24" s="85">
        <v>44478.695185185185</v>
      </c>
      <c r="X24" s="90">
        <v>44478</v>
      </c>
      <c r="Y24" s="87" t="s">
        <v>292</v>
      </c>
      <c r="Z24" s="86" t="str">
        <f>HYPERLINK("https://twitter.com/naturaize/status/1446878389135106054")</f>
        <v>https://twitter.com/naturaize/status/1446878389135106054</v>
      </c>
      <c r="AA24" s="83"/>
      <c r="AB24" s="83"/>
      <c r="AC24" s="87" t="s">
        <v>302</v>
      </c>
      <c r="AD24" s="87" t="s">
        <v>309</v>
      </c>
      <c r="AE24" s="83" t="b">
        <v>0</v>
      </c>
      <c r="AF24" s="83">
        <v>6</v>
      </c>
      <c r="AG24" s="87" t="s">
        <v>314</v>
      </c>
      <c r="AH24" s="83" t="b">
        <v>0</v>
      </c>
      <c r="AI24" s="83" t="s">
        <v>318</v>
      </c>
      <c r="AJ24" s="83"/>
      <c r="AK24" s="87" t="s">
        <v>312</v>
      </c>
      <c r="AL24" s="83" t="b">
        <v>0</v>
      </c>
      <c r="AM24" s="83">
        <v>1</v>
      </c>
      <c r="AN24" s="87" t="s">
        <v>312</v>
      </c>
      <c r="AO24" s="87" t="s">
        <v>324</v>
      </c>
      <c r="AP24" s="83" t="b">
        <v>0</v>
      </c>
      <c r="AQ24" s="87" t="s">
        <v>309</v>
      </c>
      <c r="AR24" s="83" t="s">
        <v>196</v>
      </c>
      <c r="AS24" s="83">
        <v>0</v>
      </c>
      <c r="AT24" s="83">
        <v>0</v>
      </c>
      <c r="AU24" s="83"/>
      <c r="AV24" s="83"/>
      <c r="AW24" s="83"/>
      <c r="AX24" s="83"/>
      <c r="AY24" s="83"/>
      <c r="AZ24" s="83"/>
      <c r="BA24" s="83"/>
      <c r="BB24" s="83"/>
      <c r="BC24">
        <v>1</v>
      </c>
      <c r="BD24" s="82" t="str">
        <f>REPLACE(INDEX(GroupVertices[Group],MATCH(Edges[[#This Row],[Vertex 1]],GroupVertices[Vertex],0)),1,1,"")</f>
        <v>1</v>
      </c>
      <c r="BE24" s="82" t="str">
        <f>REPLACE(INDEX(GroupVertices[Group],MATCH(Edges[[#This Row],[Vertex 2]],GroupVertices[Vertex],0)),1,1,"")</f>
        <v>1</v>
      </c>
      <c r="BF24" s="51"/>
      <c r="BG24" s="52"/>
      <c r="BH24" s="51"/>
      <c r="BI24" s="52"/>
      <c r="BJ24" s="51"/>
      <c r="BK24" s="52"/>
      <c r="BL24" s="51"/>
      <c r="BM24" s="52"/>
      <c r="BN24" s="51"/>
    </row>
    <row r="25" spans="1:66" ht="15">
      <c r="A25" s="81" t="s">
        <v>238</v>
      </c>
      <c r="B25" s="81" t="s">
        <v>252</v>
      </c>
      <c r="C25" s="53" t="s">
        <v>785</v>
      </c>
      <c r="D25" s="54">
        <v>3</v>
      </c>
      <c r="E25" s="53" t="s">
        <v>132</v>
      </c>
      <c r="F25" s="55">
        <v>32</v>
      </c>
      <c r="G25" s="53"/>
      <c r="H25" s="57"/>
      <c r="I25" s="56"/>
      <c r="J25" s="56"/>
      <c r="K25" s="36" t="s">
        <v>65</v>
      </c>
      <c r="L25" s="62">
        <v>25</v>
      </c>
      <c r="M25" s="62"/>
      <c r="N25" s="63"/>
      <c r="O25" s="83" t="s">
        <v>274</v>
      </c>
      <c r="P25" s="85">
        <v>44478.70872685185</v>
      </c>
      <c r="Q25" s="83" t="s">
        <v>280</v>
      </c>
      <c r="R25" s="83"/>
      <c r="S25" s="83"/>
      <c r="T25" s="83"/>
      <c r="U25" s="86" t="str">
        <f>HYPERLINK("https://pbs.twimg.com/media/FBRYOanX0AQOhR2.jpg")</f>
        <v>https://pbs.twimg.com/media/FBRYOanX0AQOhR2.jpg</v>
      </c>
      <c r="V25" s="86" t="str">
        <f>HYPERLINK("https://pbs.twimg.com/media/FBRYOanX0AQOhR2.jpg")</f>
        <v>https://pbs.twimg.com/media/FBRYOanX0AQOhR2.jpg</v>
      </c>
      <c r="W25" s="85">
        <v>44478.70872685185</v>
      </c>
      <c r="X25" s="90">
        <v>44478</v>
      </c>
      <c r="Y25" s="87" t="s">
        <v>293</v>
      </c>
      <c r="Z25" s="86" t="str">
        <f>HYPERLINK("https://twitter.com/raaga31280/status/1446883298274250754")</f>
        <v>https://twitter.com/raaga31280/status/1446883298274250754</v>
      </c>
      <c r="AA25" s="83"/>
      <c r="AB25" s="83"/>
      <c r="AC25" s="87" t="s">
        <v>303</v>
      </c>
      <c r="AD25" s="83"/>
      <c r="AE25" s="83" t="b">
        <v>0</v>
      </c>
      <c r="AF25" s="83">
        <v>0</v>
      </c>
      <c r="AG25" s="87" t="s">
        <v>312</v>
      </c>
      <c r="AH25" s="83" t="b">
        <v>0</v>
      </c>
      <c r="AI25" s="83" t="s">
        <v>318</v>
      </c>
      <c r="AJ25" s="83"/>
      <c r="AK25" s="87" t="s">
        <v>312</v>
      </c>
      <c r="AL25" s="83" t="b">
        <v>0</v>
      </c>
      <c r="AM25" s="83">
        <v>1</v>
      </c>
      <c r="AN25" s="87" t="s">
        <v>302</v>
      </c>
      <c r="AO25" s="87" t="s">
        <v>323</v>
      </c>
      <c r="AP25" s="83" t="b">
        <v>0</v>
      </c>
      <c r="AQ25" s="87" t="s">
        <v>302</v>
      </c>
      <c r="AR25" s="83" t="s">
        <v>196</v>
      </c>
      <c r="AS25" s="83">
        <v>0</v>
      </c>
      <c r="AT25" s="83">
        <v>0</v>
      </c>
      <c r="AU25" s="83"/>
      <c r="AV25" s="83"/>
      <c r="AW25" s="83"/>
      <c r="AX25" s="83"/>
      <c r="AY25" s="83"/>
      <c r="AZ25" s="83"/>
      <c r="BA25" s="83"/>
      <c r="BB25" s="83"/>
      <c r="BC25">
        <v>1</v>
      </c>
      <c r="BD25" s="82" t="str">
        <f>REPLACE(INDEX(GroupVertices[Group],MATCH(Edges[[#This Row],[Vertex 1]],GroupVertices[Vertex],0)),1,1,"")</f>
        <v>1</v>
      </c>
      <c r="BE25" s="82" t="str">
        <f>REPLACE(INDEX(GroupVertices[Group],MATCH(Edges[[#This Row],[Vertex 2]],GroupVertices[Vertex],0)),1,1,"")</f>
        <v>1</v>
      </c>
      <c r="BF25" s="51"/>
      <c r="BG25" s="52"/>
      <c r="BH25" s="51"/>
      <c r="BI25" s="52"/>
      <c r="BJ25" s="51"/>
      <c r="BK25" s="52"/>
      <c r="BL25" s="51"/>
      <c r="BM25" s="52"/>
      <c r="BN25" s="51"/>
    </row>
    <row r="26" spans="1:66" ht="15">
      <c r="A26" s="81" t="s">
        <v>237</v>
      </c>
      <c r="B26" s="81" t="s">
        <v>253</v>
      </c>
      <c r="C26" s="53" t="s">
        <v>785</v>
      </c>
      <c r="D26" s="54">
        <v>3</v>
      </c>
      <c r="E26" s="53" t="s">
        <v>132</v>
      </c>
      <c r="F26" s="55">
        <v>32</v>
      </c>
      <c r="G26" s="53"/>
      <c r="H26" s="57"/>
      <c r="I26" s="56"/>
      <c r="J26" s="56"/>
      <c r="K26" s="36" t="s">
        <v>65</v>
      </c>
      <c r="L26" s="62">
        <v>26</v>
      </c>
      <c r="M26" s="62"/>
      <c r="N26" s="63"/>
      <c r="O26" s="83" t="s">
        <v>273</v>
      </c>
      <c r="P26" s="85">
        <v>44478.695185185185</v>
      </c>
      <c r="Q26" s="83" t="s">
        <v>280</v>
      </c>
      <c r="R26" s="83"/>
      <c r="S26" s="83"/>
      <c r="T26" s="83"/>
      <c r="U26" s="86" t="str">
        <f>HYPERLINK("https://pbs.twimg.com/media/FBRYOanX0AQOhR2.jpg")</f>
        <v>https://pbs.twimg.com/media/FBRYOanX0AQOhR2.jpg</v>
      </c>
      <c r="V26" s="86" t="str">
        <f>HYPERLINK("https://pbs.twimg.com/media/FBRYOanX0AQOhR2.jpg")</f>
        <v>https://pbs.twimg.com/media/FBRYOanX0AQOhR2.jpg</v>
      </c>
      <c r="W26" s="85">
        <v>44478.695185185185</v>
      </c>
      <c r="X26" s="90">
        <v>44478</v>
      </c>
      <c r="Y26" s="87" t="s">
        <v>292</v>
      </c>
      <c r="Z26" s="86" t="str">
        <f>HYPERLINK("https://twitter.com/naturaize/status/1446878389135106054")</f>
        <v>https://twitter.com/naturaize/status/1446878389135106054</v>
      </c>
      <c r="AA26" s="83"/>
      <c r="AB26" s="83"/>
      <c r="AC26" s="87" t="s">
        <v>302</v>
      </c>
      <c r="AD26" s="87" t="s">
        <v>309</v>
      </c>
      <c r="AE26" s="83" t="b">
        <v>0</v>
      </c>
      <c r="AF26" s="83">
        <v>6</v>
      </c>
      <c r="AG26" s="87" t="s">
        <v>314</v>
      </c>
      <c r="AH26" s="83" t="b">
        <v>0</v>
      </c>
      <c r="AI26" s="83" t="s">
        <v>318</v>
      </c>
      <c r="AJ26" s="83"/>
      <c r="AK26" s="87" t="s">
        <v>312</v>
      </c>
      <c r="AL26" s="83" t="b">
        <v>0</v>
      </c>
      <c r="AM26" s="83">
        <v>1</v>
      </c>
      <c r="AN26" s="87" t="s">
        <v>312</v>
      </c>
      <c r="AO26" s="87" t="s">
        <v>324</v>
      </c>
      <c r="AP26" s="83" t="b">
        <v>0</v>
      </c>
      <c r="AQ26" s="87" t="s">
        <v>309</v>
      </c>
      <c r="AR26" s="83" t="s">
        <v>196</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c r="BG26" s="52"/>
      <c r="BH26" s="51"/>
      <c r="BI26" s="52"/>
      <c r="BJ26" s="51"/>
      <c r="BK26" s="52"/>
      <c r="BL26" s="51"/>
      <c r="BM26" s="52"/>
      <c r="BN26" s="51"/>
    </row>
    <row r="27" spans="1:66" ht="15">
      <c r="A27" s="81" t="s">
        <v>238</v>
      </c>
      <c r="B27" s="81" t="s">
        <v>253</v>
      </c>
      <c r="C27" s="53" t="s">
        <v>785</v>
      </c>
      <c r="D27" s="54">
        <v>3</v>
      </c>
      <c r="E27" s="53" t="s">
        <v>132</v>
      </c>
      <c r="F27" s="55">
        <v>32</v>
      </c>
      <c r="G27" s="53"/>
      <c r="H27" s="57"/>
      <c r="I27" s="56"/>
      <c r="J27" s="56"/>
      <c r="K27" s="36" t="s">
        <v>65</v>
      </c>
      <c r="L27" s="62">
        <v>27</v>
      </c>
      <c r="M27" s="62"/>
      <c r="N27" s="63"/>
      <c r="O27" s="83" t="s">
        <v>274</v>
      </c>
      <c r="P27" s="85">
        <v>44478.70872685185</v>
      </c>
      <c r="Q27" s="83" t="s">
        <v>280</v>
      </c>
      <c r="R27" s="83"/>
      <c r="S27" s="83"/>
      <c r="T27" s="83"/>
      <c r="U27" s="86" t="str">
        <f>HYPERLINK("https://pbs.twimg.com/media/FBRYOanX0AQOhR2.jpg")</f>
        <v>https://pbs.twimg.com/media/FBRYOanX0AQOhR2.jpg</v>
      </c>
      <c r="V27" s="86" t="str">
        <f>HYPERLINK("https://pbs.twimg.com/media/FBRYOanX0AQOhR2.jpg")</f>
        <v>https://pbs.twimg.com/media/FBRYOanX0AQOhR2.jpg</v>
      </c>
      <c r="W27" s="85">
        <v>44478.70872685185</v>
      </c>
      <c r="X27" s="90">
        <v>44478</v>
      </c>
      <c r="Y27" s="87" t="s">
        <v>293</v>
      </c>
      <c r="Z27" s="86" t="str">
        <f>HYPERLINK("https://twitter.com/raaga31280/status/1446883298274250754")</f>
        <v>https://twitter.com/raaga31280/status/1446883298274250754</v>
      </c>
      <c r="AA27" s="83"/>
      <c r="AB27" s="83"/>
      <c r="AC27" s="87" t="s">
        <v>303</v>
      </c>
      <c r="AD27" s="83"/>
      <c r="AE27" s="83" t="b">
        <v>0</v>
      </c>
      <c r="AF27" s="83">
        <v>0</v>
      </c>
      <c r="AG27" s="87" t="s">
        <v>312</v>
      </c>
      <c r="AH27" s="83" t="b">
        <v>0</v>
      </c>
      <c r="AI27" s="83" t="s">
        <v>318</v>
      </c>
      <c r="AJ27" s="83"/>
      <c r="AK27" s="87" t="s">
        <v>312</v>
      </c>
      <c r="AL27" s="83" t="b">
        <v>0</v>
      </c>
      <c r="AM27" s="83">
        <v>1</v>
      </c>
      <c r="AN27" s="87" t="s">
        <v>302</v>
      </c>
      <c r="AO27" s="87" t="s">
        <v>323</v>
      </c>
      <c r="AP27" s="83" t="b">
        <v>0</v>
      </c>
      <c r="AQ27" s="87" t="s">
        <v>302</v>
      </c>
      <c r="AR27" s="83" t="s">
        <v>196</v>
      </c>
      <c r="AS27" s="83">
        <v>0</v>
      </c>
      <c r="AT27" s="83">
        <v>0</v>
      </c>
      <c r="AU27" s="83"/>
      <c r="AV27" s="83"/>
      <c r="AW27" s="83"/>
      <c r="AX27" s="83"/>
      <c r="AY27" s="83"/>
      <c r="AZ27" s="83"/>
      <c r="BA27" s="83"/>
      <c r="BB27" s="83"/>
      <c r="BC27">
        <v>1</v>
      </c>
      <c r="BD27" s="82" t="str">
        <f>REPLACE(INDEX(GroupVertices[Group],MATCH(Edges[[#This Row],[Vertex 1]],GroupVertices[Vertex],0)),1,1,"")</f>
        <v>1</v>
      </c>
      <c r="BE27" s="82" t="str">
        <f>REPLACE(INDEX(GroupVertices[Group],MATCH(Edges[[#This Row],[Vertex 2]],GroupVertices[Vertex],0)),1,1,"")</f>
        <v>1</v>
      </c>
      <c r="BF27" s="51"/>
      <c r="BG27" s="52"/>
      <c r="BH27" s="51"/>
      <c r="BI27" s="52"/>
      <c r="BJ27" s="51"/>
      <c r="BK27" s="52"/>
      <c r="BL27" s="51"/>
      <c r="BM27" s="52"/>
      <c r="BN27" s="51"/>
    </row>
    <row r="28" spans="1:66" ht="15">
      <c r="A28" s="81" t="s">
        <v>237</v>
      </c>
      <c r="B28" s="81" t="s">
        <v>254</v>
      </c>
      <c r="C28" s="53" t="s">
        <v>785</v>
      </c>
      <c r="D28" s="54">
        <v>3</v>
      </c>
      <c r="E28" s="53" t="s">
        <v>132</v>
      </c>
      <c r="F28" s="55">
        <v>32</v>
      </c>
      <c r="G28" s="53"/>
      <c r="H28" s="57"/>
      <c r="I28" s="56"/>
      <c r="J28" s="56"/>
      <c r="K28" s="36" t="s">
        <v>65</v>
      </c>
      <c r="L28" s="62">
        <v>28</v>
      </c>
      <c r="M28" s="62"/>
      <c r="N28" s="63"/>
      <c r="O28" s="83" t="s">
        <v>273</v>
      </c>
      <c r="P28" s="85">
        <v>44478.695185185185</v>
      </c>
      <c r="Q28" s="83" t="s">
        <v>280</v>
      </c>
      <c r="R28" s="83"/>
      <c r="S28" s="83"/>
      <c r="T28" s="83"/>
      <c r="U28" s="86" t="str">
        <f>HYPERLINK("https://pbs.twimg.com/media/FBRYOanX0AQOhR2.jpg")</f>
        <v>https://pbs.twimg.com/media/FBRYOanX0AQOhR2.jpg</v>
      </c>
      <c r="V28" s="86" t="str">
        <f>HYPERLINK("https://pbs.twimg.com/media/FBRYOanX0AQOhR2.jpg")</f>
        <v>https://pbs.twimg.com/media/FBRYOanX0AQOhR2.jpg</v>
      </c>
      <c r="W28" s="85">
        <v>44478.695185185185</v>
      </c>
      <c r="X28" s="90">
        <v>44478</v>
      </c>
      <c r="Y28" s="87" t="s">
        <v>292</v>
      </c>
      <c r="Z28" s="86" t="str">
        <f>HYPERLINK("https://twitter.com/naturaize/status/1446878389135106054")</f>
        <v>https://twitter.com/naturaize/status/1446878389135106054</v>
      </c>
      <c r="AA28" s="83"/>
      <c r="AB28" s="83"/>
      <c r="AC28" s="87" t="s">
        <v>302</v>
      </c>
      <c r="AD28" s="87" t="s">
        <v>309</v>
      </c>
      <c r="AE28" s="83" t="b">
        <v>0</v>
      </c>
      <c r="AF28" s="83">
        <v>6</v>
      </c>
      <c r="AG28" s="87" t="s">
        <v>314</v>
      </c>
      <c r="AH28" s="83" t="b">
        <v>0</v>
      </c>
      <c r="AI28" s="83" t="s">
        <v>318</v>
      </c>
      <c r="AJ28" s="83"/>
      <c r="AK28" s="87" t="s">
        <v>312</v>
      </c>
      <c r="AL28" s="83" t="b">
        <v>0</v>
      </c>
      <c r="AM28" s="83">
        <v>1</v>
      </c>
      <c r="AN28" s="87" t="s">
        <v>312</v>
      </c>
      <c r="AO28" s="87" t="s">
        <v>324</v>
      </c>
      <c r="AP28" s="83" t="b">
        <v>0</v>
      </c>
      <c r="AQ28" s="87" t="s">
        <v>309</v>
      </c>
      <c r="AR28" s="83" t="s">
        <v>196</v>
      </c>
      <c r="AS28" s="83">
        <v>0</v>
      </c>
      <c r="AT28" s="83">
        <v>0</v>
      </c>
      <c r="AU28" s="83"/>
      <c r="AV28" s="83"/>
      <c r="AW28" s="83"/>
      <c r="AX28" s="83"/>
      <c r="AY28" s="83"/>
      <c r="AZ28" s="83"/>
      <c r="BA28" s="83"/>
      <c r="BB28" s="83"/>
      <c r="BC28">
        <v>1</v>
      </c>
      <c r="BD28" s="82" t="str">
        <f>REPLACE(INDEX(GroupVertices[Group],MATCH(Edges[[#This Row],[Vertex 1]],GroupVertices[Vertex],0)),1,1,"")</f>
        <v>1</v>
      </c>
      <c r="BE28" s="82" t="str">
        <f>REPLACE(INDEX(GroupVertices[Group],MATCH(Edges[[#This Row],[Vertex 2]],GroupVertices[Vertex],0)),1,1,"")</f>
        <v>1</v>
      </c>
      <c r="BF28" s="51"/>
      <c r="BG28" s="52"/>
      <c r="BH28" s="51"/>
      <c r="BI28" s="52"/>
      <c r="BJ28" s="51"/>
      <c r="BK28" s="52"/>
      <c r="BL28" s="51"/>
      <c r="BM28" s="52"/>
      <c r="BN28" s="51"/>
    </row>
    <row r="29" spans="1:66" ht="15">
      <c r="A29" s="81" t="s">
        <v>238</v>
      </c>
      <c r="B29" s="81" t="s">
        <v>254</v>
      </c>
      <c r="C29" s="53" t="s">
        <v>785</v>
      </c>
      <c r="D29" s="54">
        <v>3</v>
      </c>
      <c r="E29" s="53" t="s">
        <v>132</v>
      </c>
      <c r="F29" s="55">
        <v>32</v>
      </c>
      <c r="G29" s="53"/>
      <c r="H29" s="57"/>
      <c r="I29" s="56"/>
      <c r="J29" s="56"/>
      <c r="K29" s="36" t="s">
        <v>65</v>
      </c>
      <c r="L29" s="62">
        <v>29</v>
      </c>
      <c r="M29" s="62"/>
      <c r="N29" s="63"/>
      <c r="O29" s="83" t="s">
        <v>274</v>
      </c>
      <c r="P29" s="85">
        <v>44478.70872685185</v>
      </c>
      <c r="Q29" s="83" t="s">
        <v>280</v>
      </c>
      <c r="R29" s="83"/>
      <c r="S29" s="83"/>
      <c r="T29" s="83"/>
      <c r="U29" s="86" t="str">
        <f>HYPERLINK("https://pbs.twimg.com/media/FBRYOanX0AQOhR2.jpg")</f>
        <v>https://pbs.twimg.com/media/FBRYOanX0AQOhR2.jpg</v>
      </c>
      <c r="V29" s="86" t="str">
        <f>HYPERLINK("https://pbs.twimg.com/media/FBRYOanX0AQOhR2.jpg")</f>
        <v>https://pbs.twimg.com/media/FBRYOanX0AQOhR2.jpg</v>
      </c>
      <c r="W29" s="85">
        <v>44478.70872685185</v>
      </c>
      <c r="X29" s="90">
        <v>44478</v>
      </c>
      <c r="Y29" s="87" t="s">
        <v>293</v>
      </c>
      <c r="Z29" s="86" t="str">
        <f>HYPERLINK("https://twitter.com/raaga31280/status/1446883298274250754")</f>
        <v>https://twitter.com/raaga31280/status/1446883298274250754</v>
      </c>
      <c r="AA29" s="83"/>
      <c r="AB29" s="83"/>
      <c r="AC29" s="87" t="s">
        <v>303</v>
      </c>
      <c r="AD29" s="83"/>
      <c r="AE29" s="83" t="b">
        <v>0</v>
      </c>
      <c r="AF29" s="83">
        <v>0</v>
      </c>
      <c r="AG29" s="87" t="s">
        <v>312</v>
      </c>
      <c r="AH29" s="83" t="b">
        <v>0</v>
      </c>
      <c r="AI29" s="83" t="s">
        <v>318</v>
      </c>
      <c r="AJ29" s="83"/>
      <c r="AK29" s="87" t="s">
        <v>312</v>
      </c>
      <c r="AL29" s="83" t="b">
        <v>0</v>
      </c>
      <c r="AM29" s="83">
        <v>1</v>
      </c>
      <c r="AN29" s="87" t="s">
        <v>302</v>
      </c>
      <c r="AO29" s="87" t="s">
        <v>323</v>
      </c>
      <c r="AP29" s="83" t="b">
        <v>0</v>
      </c>
      <c r="AQ29" s="87" t="s">
        <v>302</v>
      </c>
      <c r="AR29" s="83" t="s">
        <v>196</v>
      </c>
      <c r="AS29" s="83">
        <v>0</v>
      </c>
      <c r="AT29" s="83">
        <v>0</v>
      </c>
      <c r="AU29" s="83"/>
      <c r="AV29" s="83"/>
      <c r="AW29" s="83"/>
      <c r="AX29" s="83"/>
      <c r="AY29" s="83"/>
      <c r="AZ29" s="83"/>
      <c r="BA29" s="83"/>
      <c r="BB29" s="83"/>
      <c r="BC29">
        <v>1</v>
      </c>
      <c r="BD29" s="82" t="str">
        <f>REPLACE(INDEX(GroupVertices[Group],MATCH(Edges[[#This Row],[Vertex 1]],GroupVertices[Vertex],0)),1,1,"")</f>
        <v>1</v>
      </c>
      <c r="BE29" s="82" t="str">
        <f>REPLACE(INDEX(GroupVertices[Group],MATCH(Edges[[#This Row],[Vertex 2]],GroupVertices[Vertex],0)),1,1,"")</f>
        <v>1</v>
      </c>
      <c r="BF29" s="51"/>
      <c r="BG29" s="52"/>
      <c r="BH29" s="51"/>
      <c r="BI29" s="52"/>
      <c r="BJ29" s="51"/>
      <c r="BK29" s="52"/>
      <c r="BL29" s="51"/>
      <c r="BM29" s="52"/>
      <c r="BN29" s="51"/>
    </row>
    <row r="30" spans="1:66" ht="15">
      <c r="A30" s="81" t="s">
        <v>237</v>
      </c>
      <c r="B30" s="81" t="s">
        <v>255</v>
      </c>
      <c r="C30" s="53" t="s">
        <v>785</v>
      </c>
      <c r="D30" s="54">
        <v>3</v>
      </c>
      <c r="E30" s="53" t="s">
        <v>132</v>
      </c>
      <c r="F30" s="55">
        <v>32</v>
      </c>
      <c r="G30" s="53"/>
      <c r="H30" s="57"/>
      <c r="I30" s="56"/>
      <c r="J30" s="56"/>
      <c r="K30" s="36" t="s">
        <v>65</v>
      </c>
      <c r="L30" s="62">
        <v>30</v>
      </c>
      <c r="M30" s="62"/>
      <c r="N30" s="63"/>
      <c r="O30" s="83" t="s">
        <v>273</v>
      </c>
      <c r="P30" s="85">
        <v>44478.695185185185</v>
      </c>
      <c r="Q30" s="83" t="s">
        <v>280</v>
      </c>
      <c r="R30" s="83"/>
      <c r="S30" s="83"/>
      <c r="T30" s="83"/>
      <c r="U30" s="86" t="str">
        <f>HYPERLINK("https://pbs.twimg.com/media/FBRYOanX0AQOhR2.jpg")</f>
        <v>https://pbs.twimg.com/media/FBRYOanX0AQOhR2.jpg</v>
      </c>
      <c r="V30" s="86" t="str">
        <f>HYPERLINK("https://pbs.twimg.com/media/FBRYOanX0AQOhR2.jpg")</f>
        <v>https://pbs.twimg.com/media/FBRYOanX0AQOhR2.jpg</v>
      </c>
      <c r="W30" s="85">
        <v>44478.695185185185</v>
      </c>
      <c r="X30" s="90">
        <v>44478</v>
      </c>
      <c r="Y30" s="87" t="s">
        <v>292</v>
      </c>
      <c r="Z30" s="86" t="str">
        <f>HYPERLINK("https://twitter.com/naturaize/status/1446878389135106054")</f>
        <v>https://twitter.com/naturaize/status/1446878389135106054</v>
      </c>
      <c r="AA30" s="83"/>
      <c r="AB30" s="83"/>
      <c r="AC30" s="87" t="s">
        <v>302</v>
      </c>
      <c r="AD30" s="87" t="s">
        <v>309</v>
      </c>
      <c r="AE30" s="83" t="b">
        <v>0</v>
      </c>
      <c r="AF30" s="83">
        <v>6</v>
      </c>
      <c r="AG30" s="87" t="s">
        <v>314</v>
      </c>
      <c r="AH30" s="83" t="b">
        <v>0</v>
      </c>
      <c r="AI30" s="83" t="s">
        <v>318</v>
      </c>
      <c r="AJ30" s="83"/>
      <c r="AK30" s="87" t="s">
        <v>312</v>
      </c>
      <c r="AL30" s="83" t="b">
        <v>0</v>
      </c>
      <c r="AM30" s="83">
        <v>1</v>
      </c>
      <c r="AN30" s="87" t="s">
        <v>312</v>
      </c>
      <c r="AO30" s="87" t="s">
        <v>324</v>
      </c>
      <c r="AP30" s="83" t="b">
        <v>0</v>
      </c>
      <c r="AQ30" s="87" t="s">
        <v>309</v>
      </c>
      <c r="AR30" s="83" t="s">
        <v>196</v>
      </c>
      <c r="AS30" s="83">
        <v>0</v>
      </c>
      <c r="AT30" s="83">
        <v>0</v>
      </c>
      <c r="AU30" s="83"/>
      <c r="AV30" s="83"/>
      <c r="AW30" s="83"/>
      <c r="AX30" s="83"/>
      <c r="AY30" s="83"/>
      <c r="AZ30" s="83"/>
      <c r="BA30" s="83"/>
      <c r="BB30" s="83"/>
      <c r="BC30">
        <v>1</v>
      </c>
      <c r="BD30" s="82" t="str">
        <f>REPLACE(INDEX(GroupVertices[Group],MATCH(Edges[[#This Row],[Vertex 1]],GroupVertices[Vertex],0)),1,1,"")</f>
        <v>1</v>
      </c>
      <c r="BE30" s="82" t="str">
        <f>REPLACE(INDEX(GroupVertices[Group],MATCH(Edges[[#This Row],[Vertex 2]],GroupVertices[Vertex],0)),1,1,"")</f>
        <v>1</v>
      </c>
      <c r="BF30" s="51"/>
      <c r="BG30" s="52"/>
      <c r="BH30" s="51"/>
      <c r="BI30" s="52"/>
      <c r="BJ30" s="51"/>
      <c r="BK30" s="52"/>
      <c r="BL30" s="51"/>
      <c r="BM30" s="52"/>
      <c r="BN30" s="51"/>
    </row>
    <row r="31" spans="1:66" ht="15">
      <c r="A31" s="81" t="s">
        <v>238</v>
      </c>
      <c r="B31" s="81" t="s">
        <v>255</v>
      </c>
      <c r="C31" s="53" t="s">
        <v>785</v>
      </c>
      <c r="D31" s="54">
        <v>3</v>
      </c>
      <c r="E31" s="53" t="s">
        <v>132</v>
      </c>
      <c r="F31" s="55">
        <v>32</v>
      </c>
      <c r="G31" s="53"/>
      <c r="H31" s="57"/>
      <c r="I31" s="56"/>
      <c r="J31" s="56"/>
      <c r="K31" s="36" t="s">
        <v>65</v>
      </c>
      <c r="L31" s="62">
        <v>31</v>
      </c>
      <c r="M31" s="62"/>
      <c r="N31" s="63"/>
      <c r="O31" s="83" t="s">
        <v>274</v>
      </c>
      <c r="P31" s="85">
        <v>44478.70872685185</v>
      </c>
      <c r="Q31" s="83" t="s">
        <v>280</v>
      </c>
      <c r="R31" s="83"/>
      <c r="S31" s="83"/>
      <c r="T31" s="83"/>
      <c r="U31" s="86" t="str">
        <f>HYPERLINK("https://pbs.twimg.com/media/FBRYOanX0AQOhR2.jpg")</f>
        <v>https://pbs.twimg.com/media/FBRYOanX0AQOhR2.jpg</v>
      </c>
      <c r="V31" s="86" t="str">
        <f>HYPERLINK("https://pbs.twimg.com/media/FBRYOanX0AQOhR2.jpg")</f>
        <v>https://pbs.twimg.com/media/FBRYOanX0AQOhR2.jpg</v>
      </c>
      <c r="W31" s="85">
        <v>44478.70872685185</v>
      </c>
      <c r="X31" s="90">
        <v>44478</v>
      </c>
      <c r="Y31" s="87" t="s">
        <v>293</v>
      </c>
      <c r="Z31" s="86" t="str">
        <f>HYPERLINK("https://twitter.com/raaga31280/status/1446883298274250754")</f>
        <v>https://twitter.com/raaga31280/status/1446883298274250754</v>
      </c>
      <c r="AA31" s="83"/>
      <c r="AB31" s="83"/>
      <c r="AC31" s="87" t="s">
        <v>303</v>
      </c>
      <c r="AD31" s="83"/>
      <c r="AE31" s="83" t="b">
        <v>0</v>
      </c>
      <c r="AF31" s="83">
        <v>0</v>
      </c>
      <c r="AG31" s="87" t="s">
        <v>312</v>
      </c>
      <c r="AH31" s="83" t="b">
        <v>0</v>
      </c>
      <c r="AI31" s="83" t="s">
        <v>318</v>
      </c>
      <c r="AJ31" s="83"/>
      <c r="AK31" s="87" t="s">
        <v>312</v>
      </c>
      <c r="AL31" s="83" t="b">
        <v>0</v>
      </c>
      <c r="AM31" s="83">
        <v>1</v>
      </c>
      <c r="AN31" s="87" t="s">
        <v>302</v>
      </c>
      <c r="AO31" s="87" t="s">
        <v>323</v>
      </c>
      <c r="AP31" s="83" t="b">
        <v>0</v>
      </c>
      <c r="AQ31" s="87" t="s">
        <v>302</v>
      </c>
      <c r="AR31" s="83" t="s">
        <v>196</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c r="BG31" s="52"/>
      <c r="BH31" s="51"/>
      <c r="BI31" s="52"/>
      <c r="BJ31" s="51"/>
      <c r="BK31" s="52"/>
      <c r="BL31" s="51"/>
      <c r="BM31" s="52"/>
      <c r="BN31" s="51"/>
    </row>
    <row r="32" spans="1:66" ht="15">
      <c r="A32" s="81" t="s">
        <v>237</v>
      </c>
      <c r="B32" s="81" t="s">
        <v>256</v>
      </c>
      <c r="C32" s="53" t="s">
        <v>785</v>
      </c>
      <c r="D32" s="54">
        <v>3</v>
      </c>
      <c r="E32" s="53" t="s">
        <v>132</v>
      </c>
      <c r="F32" s="55">
        <v>32</v>
      </c>
      <c r="G32" s="53"/>
      <c r="H32" s="57"/>
      <c r="I32" s="56"/>
      <c r="J32" s="56"/>
      <c r="K32" s="36" t="s">
        <v>65</v>
      </c>
      <c r="L32" s="62">
        <v>32</v>
      </c>
      <c r="M32" s="62"/>
      <c r="N32" s="63"/>
      <c r="O32" s="83" t="s">
        <v>273</v>
      </c>
      <c r="P32" s="85">
        <v>44478.695185185185</v>
      </c>
      <c r="Q32" s="83" t="s">
        <v>280</v>
      </c>
      <c r="R32" s="83"/>
      <c r="S32" s="83"/>
      <c r="T32" s="83"/>
      <c r="U32" s="86" t="str">
        <f>HYPERLINK("https://pbs.twimg.com/media/FBRYOanX0AQOhR2.jpg")</f>
        <v>https://pbs.twimg.com/media/FBRYOanX0AQOhR2.jpg</v>
      </c>
      <c r="V32" s="86" t="str">
        <f>HYPERLINK("https://pbs.twimg.com/media/FBRYOanX0AQOhR2.jpg")</f>
        <v>https://pbs.twimg.com/media/FBRYOanX0AQOhR2.jpg</v>
      </c>
      <c r="W32" s="85">
        <v>44478.695185185185</v>
      </c>
      <c r="X32" s="90">
        <v>44478</v>
      </c>
      <c r="Y32" s="87" t="s">
        <v>292</v>
      </c>
      <c r="Z32" s="86" t="str">
        <f>HYPERLINK("https://twitter.com/naturaize/status/1446878389135106054")</f>
        <v>https://twitter.com/naturaize/status/1446878389135106054</v>
      </c>
      <c r="AA32" s="83"/>
      <c r="AB32" s="83"/>
      <c r="AC32" s="87" t="s">
        <v>302</v>
      </c>
      <c r="AD32" s="87" t="s">
        <v>309</v>
      </c>
      <c r="AE32" s="83" t="b">
        <v>0</v>
      </c>
      <c r="AF32" s="83">
        <v>6</v>
      </c>
      <c r="AG32" s="87" t="s">
        <v>314</v>
      </c>
      <c r="AH32" s="83" t="b">
        <v>0</v>
      </c>
      <c r="AI32" s="83" t="s">
        <v>318</v>
      </c>
      <c r="AJ32" s="83"/>
      <c r="AK32" s="87" t="s">
        <v>312</v>
      </c>
      <c r="AL32" s="83" t="b">
        <v>0</v>
      </c>
      <c r="AM32" s="83">
        <v>1</v>
      </c>
      <c r="AN32" s="87" t="s">
        <v>312</v>
      </c>
      <c r="AO32" s="87" t="s">
        <v>324</v>
      </c>
      <c r="AP32" s="83" t="b">
        <v>0</v>
      </c>
      <c r="AQ32" s="87" t="s">
        <v>309</v>
      </c>
      <c r="AR32" s="83" t="s">
        <v>196</v>
      </c>
      <c r="AS32" s="83">
        <v>0</v>
      </c>
      <c r="AT32" s="83">
        <v>0</v>
      </c>
      <c r="AU32" s="83"/>
      <c r="AV32" s="83"/>
      <c r="AW32" s="83"/>
      <c r="AX32" s="83"/>
      <c r="AY32" s="83"/>
      <c r="AZ32" s="83"/>
      <c r="BA32" s="83"/>
      <c r="BB32" s="83"/>
      <c r="BC32">
        <v>1</v>
      </c>
      <c r="BD32" s="82" t="str">
        <f>REPLACE(INDEX(GroupVertices[Group],MATCH(Edges[[#This Row],[Vertex 1]],GroupVertices[Vertex],0)),1,1,"")</f>
        <v>1</v>
      </c>
      <c r="BE32" s="82" t="str">
        <f>REPLACE(INDEX(GroupVertices[Group],MATCH(Edges[[#This Row],[Vertex 2]],GroupVertices[Vertex],0)),1,1,"")</f>
        <v>1</v>
      </c>
      <c r="BF32" s="51"/>
      <c r="BG32" s="52"/>
      <c r="BH32" s="51"/>
      <c r="BI32" s="52"/>
      <c r="BJ32" s="51"/>
      <c r="BK32" s="52"/>
      <c r="BL32" s="51"/>
      <c r="BM32" s="52"/>
      <c r="BN32" s="51"/>
    </row>
    <row r="33" spans="1:66" ht="15">
      <c r="A33" s="81" t="s">
        <v>238</v>
      </c>
      <c r="B33" s="81" t="s">
        <v>256</v>
      </c>
      <c r="C33" s="53" t="s">
        <v>785</v>
      </c>
      <c r="D33" s="54">
        <v>3</v>
      </c>
      <c r="E33" s="53" t="s">
        <v>132</v>
      </c>
      <c r="F33" s="55">
        <v>32</v>
      </c>
      <c r="G33" s="53"/>
      <c r="H33" s="57"/>
      <c r="I33" s="56"/>
      <c r="J33" s="56"/>
      <c r="K33" s="36" t="s">
        <v>65</v>
      </c>
      <c r="L33" s="62">
        <v>33</v>
      </c>
      <c r="M33" s="62"/>
      <c r="N33" s="63"/>
      <c r="O33" s="83" t="s">
        <v>274</v>
      </c>
      <c r="P33" s="85">
        <v>44478.70872685185</v>
      </c>
      <c r="Q33" s="83" t="s">
        <v>280</v>
      </c>
      <c r="R33" s="83"/>
      <c r="S33" s="83"/>
      <c r="T33" s="83"/>
      <c r="U33" s="86" t="str">
        <f>HYPERLINK("https://pbs.twimg.com/media/FBRYOanX0AQOhR2.jpg")</f>
        <v>https://pbs.twimg.com/media/FBRYOanX0AQOhR2.jpg</v>
      </c>
      <c r="V33" s="86" t="str">
        <f>HYPERLINK("https://pbs.twimg.com/media/FBRYOanX0AQOhR2.jpg")</f>
        <v>https://pbs.twimg.com/media/FBRYOanX0AQOhR2.jpg</v>
      </c>
      <c r="W33" s="85">
        <v>44478.70872685185</v>
      </c>
      <c r="X33" s="90">
        <v>44478</v>
      </c>
      <c r="Y33" s="87" t="s">
        <v>293</v>
      </c>
      <c r="Z33" s="86" t="str">
        <f>HYPERLINK("https://twitter.com/raaga31280/status/1446883298274250754")</f>
        <v>https://twitter.com/raaga31280/status/1446883298274250754</v>
      </c>
      <c r="AA33" s="83"/>
      <c r="AB33" s="83"/>
      <c r="AC33" s="87" t="s">
        <v>303</v>
      </c>
      <c r="AD33" s="83"/>
      <c r="AE33" s="83" t="b">
        <v>0</v>
      </c>
      <c r="AF33" s="83">
        <v>0</v>
      </c>
      <c r="AG33" s="87" t="s">
        <v>312</v>
      </c>
      <c r="AH33" s="83" t="b">
        <v>0</v>
      </c>
      <c r="AI33" s="83" t="s">
        <v>318</v>
      </c>
      <c r="AJ33" s="83"/>
      <c r="AK33" s="87" t="s">
        <v>312</v>
      </c>
      <c r="AL33" s="83" t="b">
        <v>0</v>
      </c>
      <c r="AM33" s="83">
        <v>1</v>
      </c>
      <c r="AN33" s="87" t="s">
        <v>302</v>
      </c>
      <c r="AO33" s="87" t="s">
        <v>323</v>
      </c>
      <c r="AP33" s="83" t="b">
        <v>0</v>
      </c>
      <c r="AQ33" s="87" t="s">
        <v>302</v>
      </c>
      <c r="AR33" s="83" t="s">
        <v>196</v>
      </c>
      <c r="AS33" s="83">
        <v>0</v>
      </c>
      <c r="AT33" s="83">
        <v>0</v>
      </c>
      <c r="AU33" s="83"/>
      <c r="AV33" s="83"/>
      <c r="AW33" s="83"/>
      <c r="AX33" s="83"/>
      <c r="AY33" s="83"/>
      <c r="AZ33" s="83"/>
      <c r="BA33" s="83"/>
      <c r="BB33" s="83"/>
      <c r="BC33">
        <v>1</v>
      </c>
      <c r="BD33" s="82" t="str">
        <f>REPLACE(INDEX(GroupVertices[Group],MATCH(Edges[[#This Row],[Vertex 1]],GroupVertices[Vertex],0)),1,1,"")</f>
        <v>1</v>
      </c>
      <c r="BE33" s="82" t="str">
        <f>REPLACE(INDEX(GroupVertices[Group],MATCH(Edges[[#This Row],[Vertex 2]],GroupVertices[Vertex],0)),1,1,"")</f>
        <v>1</v>
      </c>
      <c r="BF33" s="51"/>
      <c r="BG33" s="52"/>
      <c r="BH33" s="51"/>
      <c r="BI33" s="52"/>
      <c r="BJ33" s="51"/>
      <c r="BK33" s="52"/>
      <c r="BL33" s="51"/>
      <c r="BM33" s="52"/>
      <c r="BN33" s="51"/>
    </row>
    <row r="34" spans="1:66" ht="15">
      <c r="A34" s="81" t="s">
        <v>237</v>
      </c>
      <c r="B34" s="81" t="s">
        <v>257</v>
      </c>
      <c r="C34" s="53" t="s">
        <v>785</v>
      </c>
      <c r="D34" s="54">
        <v>3</v>
      </c>
      <c r="E34" s="53" t="s">
        <v>132</v>
      </c>
      <c r="F34" s="55">
        <v>32</v>
      </c>
      <c r="G34" s="53"/>
      <c r="H34" s="57"/>
      <c r="I34" s="56"/>
      <c r="J34" s="56"/>
      <c r="K34" s="36" t="s">
        <v>65</v>
      </c>
      <c r="L34" s="62">
        <v>34</v>
      </c>
      <c r="M34" s="62"/>
      <c r="N34" s="63"/>
      <c r="O34" s="83" t="s">
        <v>273</v>
      </c>
      <c r="P34" s="85">
        <v>44478.695185185185</v>
      </c>
      <c r="Q34" s="83" t="s">
        <v>280</v>
      </c>
      <c r="R34" s="83"/>
      <c r="S34" s="83"/>
      <c r="T34" s="83"/>
      <c r="U34" s="86" t="str">
        <f>HYPERLINK("https://pbs.twimg.com/media/FBRYOanX0AQOhR2.jpg")</f>
        <v>https://pbs.twimg.com/media/FBRYOanX0AQOhR2.jpg</v>
      </c>
      <c r="V34" s="86" t="str">
        <f>HYPERLINK("https://pbs.twimg.com/media/FBRYOanX0AQOhR2.jpg")</f>
        <v>https://pbs.twimg.com/media/FBRYOanX0AQOhR2.jpg</v>
      </c>
      <c r="W34" s="85">
        <v>44478.695185185185</v>
      </c>
      <c r="X34" s="90">
        <v>44478</v>
      </c>
      <c r="Y34" s="87" t="s">
        <v>292</v>
      </c>
      <c r="Z34" s="86" t="str">
        <f>HYPERLINK("https://twitter.com/naturaize/status/1446878389135106054")</f>
        <v>https://twitter.com/naturaize/status/1446878389135106054</v>
      </c>
      <c r="AA34" s="83"/>
      <c r="AB34" s="83"/>
      <c r="AC34" s="87" t="s">
        <v>302</v>
      </c>
      <c r="AD34" s="87" t="s">
        <v>309</v>
      </c>
      <c r="AE34" s="83" t="b">
        <v>0</v>
      </c>
      <c r="AF34" s="83">
        <v>6</v>
      </c>
      <c r="AG34" s="87" t="s">
        <v>314</v>
      </c>
      <c r="AH34" s="83" t="b">
        <v>0</v>
      </c>
      <c r="AI34" s="83" t="s">
        <v>318</v>
      </c>
      <c r="AJ34" s="83"/>
      <c r="AK34" s="87" t="s">
        <v>312</v>
      </c>
      <c r="AL34" s="83" t="b">
        <v>0</v>
      </c>
      <c r="AM34" s="83">
        <v>1</v>
      </c>
      <c r="AN34" s="87" t="s">
        <v>312</v>
      </c>
      <c r="AO34" s="87" t="s">
        <v>324</v>
      </c>
      <c r="AP34" s="83" t="b">
        <v>0</v>
      </c>
      <c r="AQ34" s="87" t="s">
        <v>309</v>
      </c>
      <c r="AR34" s="83" t="s">
        <v>196</v>
      </c>
      <c r="AS34" s="83">
        <v>0</v>
      </c>
      <c r="AT34" s="83">
        <v>0</v>
      </c>
      <c r="AU34" s="83"/>
      <c r="AV34" s="83"/>
      <c r="AW34" s="83"/>
      <c r="AX34" s="83"/>
      <c r="AY34" s="83"/>
      <c r="AZ34" s="83"/>
      <c r="BA34" s="83"/>
      <c r="BB34" s="83"/>
      <c r="BC34">
        <v>1</v>
      </c>
      <c r="BD34" s="82" t="str">
        <f>REPLACE(INDEX(GroupVertices[Group],MATCH(Edges[[#This Row],[Vertex 1]],GroupVertices[Vertex],0)),1,1,"")</f>
        <v>1</v>
      </c>
      <c r="BE34" s="82" t="str">
        <f>REPLACE(INDEX(GroupVertices[Group],MATCH(Edges[[#This Row],[Vertex 2]],GroupVertices[Vertex],0)),1,1,"")</f>
        <v>1</v>
      </c>
      <c r="BF34" s="51"/>
      <c r="BG34" s="52"/>
      <c r="BH34" s="51"/>
      <c r="BI34" s="52"/>
      <c r="BJ34" s="51"/>
      <c r="BK34" s="52"/>
      <c r="BL34" s="51"/>
      <c r="BM34" s="52"/>
      <c r="BN34" s="51"/>
    </row>
    <row r="35" spans="1:66" ht="15">
      <c r="A35" s="81" t="s">
        <v>238</v>
      </c>
      <c r="B35" s="81" t="s">
        <v>257</v>
      </c>
      <c r="C35" s="53" t="s">
        <v>785</v>
      </c>
      <c r="D35" s="54">
        <v>3</v>
      </c>
      <c r="E35" s="53" t="s">
        <v>132</v>
      </c>
      <c r="F35" s="55">
        <v>32</v>
      </c>
      <c r="G35" s="53"/>
      <c r="H35" s="57"/>
      <c r="I35" s="56"/>
      <c r="J35" s="56"/>
      <c r="K35" s="36" t="s">
        <v>65</v>
      </c>
      <c r="L35" s="62">
        <v>35</v>
      </c>
      <c r="M35" s="62"/>
      <c r="N35" s="63"/>
      <c r="O35" s="83" t="s">
        <v>274</v>
      </c>
      <c r="P35" s="85">
        <v>44478.70872685185</v>
      </c>
      <c r="Q35" s="83" t="s">
        <v>280</v>
      </c>
      <c r="R35" s="83"/>
      <c r="S35" s="83"/>
      <c r="T35" s="83"/>
      <c r="U35" s="86" t="str">
        <f>HYPERLINK("https://pbs.twimg.com/media/FBRYOanX0AQOhR2.jpg")</f>
        <v>https://pbs.twimg.com/media/FBRYOanX0AQOhR2.jpg</v>
      </c>
      <c r="V35" s="86" t="str">
        <f>HYPERLINK("https://pbs.twimg.com/media/FBRYOanX0AQOhR2.jpg")</f>
        <v>https://pbs.twimg.com/media/FBRYOanX0AQOhR2.jpg</v>
      </c>
      <c r="W35" s="85">
        <v>44478.70872685185</v>
      </c>
      <c r="X35" s="90">
        <v>44478</v>
      </c>
      <c r="Y35" s="87" t="s">
        <v>293</v>
      </c>
      <c r="Z35" s="86" t="str">
        <f>HYPERLINK("https://twitter.com/raaga31280/status/1446883298274250754")</f>
        <v>https://twitter.com/raaga31280/status/1446883298274250754</v>
      </c>
      <c r="AA35" s="83"/>
      <c r="AB35" s="83"/>
      <c r="AC35" s="87" t="s">
        <v>303</v>
      </c>
      <c r="AD35" s="83"/>
      <c r="AE35" s="83" t="b">
        <v>0</v>
      </c>
      <c r="AF35" s="83">
        <v>0</v>
      </c>
      <c r="AG35" s="87" t="s">
        <v>312</v>
      </c>
      <c r="AH35" s="83" t="b">
        <v>0</v>
      </c>
      <c r="AI35" s="83" t="s">
        <v>318</v>
      </c>
      <c r="AJ35" s="83"/>
      <c r="AK35" s="87" t="s">
        <v>312</v>
      </c>
      <c r="AL35" s="83" t="b">
        <v>0</v>
      </c>
      <c r="AM35" s="83">
        <v>1</v>
      </c>
      <c r="AN35" s="87" t="s">
        <v>302</v>
      </c>
      <c r="AO35" s="87" t="s">
        <v>323</v>
      </c>
      <c r="AP35" s="83" t="b">
        <v>0</v>
      </c>
      <c r="AQ35" s="87" t="s">
        <v>302</v>
      </c>
      <c r="AR35" s="83" t="s">
        <v>196</v>
      </c>
      <c r="AS35" s="83">
        <v>0</v>
      </c>
      <c r="AT35" s="83">
        <v>0</v>
      </c>
      <c r="AU35" s="83"/>
      <c r="AV35" s="83"/>
      <c r="AW35" s="83"/>
      <c r="AX35" s="83"/>
      <c r="AY35" s="83"/>
      <c r="AZ35" s="83"/>
      <c r="BA35" s="83"/>
      <c r="BB35" s="83"/>
      <c r="BC35">
        <v>1</v>
      </c>
      <c r="BD35" s="82" t="str">
        <f>REPLACE(INDEX(GroupVertices[Group],MATCH(Edges[[#This Row],[Vertex 1]],GroupVertices[Vertex],0)),1,1,"")</f>
        <v>1</v>
      </c>
      <c r="BE35" s="82" t="str">
        <f>REPLACE(INDEX(GroupVertices[Group],MATCH(Edges[[#This Row],[Vertex 2]],GroupVertices[Vertex],0)),1,1,"")</f>
        <v>1</v>
      </c>
      <c r="BF35" s="51"/>
      <c r="BG35" s="52"/>
      <c r="BH35" s="51"/>
      <c r="BI35" s="52"/>
      <c r="BJ35" s="51"/>
      <c r="BK35" s="52"/>
      <c r="BL35" s="51"/>
      <c r="BM35" s="52"/>
      <c r="BN35" s="51"/>
    </row>
    <row r="36" spans="1:66" ht="15">
      <c r="A36" s="81" t="s">
        <v>237</v>
      </c>
      <c r="B36" s="81" t="s">
        <v>258</v>
      </c>
      <c r="C36" s="53" t="s">
        <v>785</v>
      </c>
      <c r="D36" s="54">
        <v>3</v>
      </c>
      <c r="E36" s="53" t="s">
        <v>132</v>
      </c>
      <c r="F36" s="55">
        <v>32</v>
      </c>
      <c r="G36" s="53"/>
      <c r="H36" s="57"/>
      <c r="I36" s="56"/>
      <c r="J36" s="56"/>
      <c r="K36" s="36" t="s">
        <v>65</v>
      </c>
      <c r="L36" s="62">
        <v>36</v>
      </c>
      <c r="M36" s="62"/>
      <c r="N36" s="63"/>
      <c r="O36" s="83" t="s">
        <v>273</v>
      </c>
      <c r="P36" s="85">
        <v>44478.695185185185</v>
      </c>
      <c r="Q36" s="83" t="s">
        <v>280</v>
      </c>
      <c r="R36" s="83"/>
      <c r="S36" s="83"/>
      <c r="T36" s="83"/>
      <c r="U36" s="86" t="str">
        <f>HYPERLINK("https://pbs.twimg.com/media/FBRYOanX0AQOhR2.jpg")</f>
        <v>https://pbs.twimg.com/media/FBRYOanX0AQOhR2.jpg</v>
      </c>
      <c r="V36" s="86" t="str">
        <f>HYPERLINK("https://pbs.twimg.com/media/FBRYOanX0AQOhR2.jpg")</f>
        <v>https://pbs.twimg.com/media/FBRYOanX0AQOhR2.jpg</v>
      </c>
      <c r="W36" s="85">
        <v>44478.695185185185</v>
      </c>
      <c r="X36" s="90">
        <v>44478</v>
      </c>
      <c r="Y36" s="87" t="s">
        <v>292</v>
      </c>
      <c r="Z36" s="86" t="str">
        <f>HYPERLINK("https://twitter.com/naturaize/status/1446878389135106054")</f>
        <v>https://twitter.com/naturaize/status/1446878389135106054</v>
      </c>
      <c r="AA36" s="83"/>
      <c r="AB36" s="83"/>
      <c r="AC36" s="87" t="s">
        <v>302</v>
      </c>
      <c r="AD36" s="87" t="s">
        <v>309</v>
      </c>
      <c r="AE36" s="83" t="b">
        <v>0</v>
      </c>
      <c r="AF36" s="83">
        <v>6</v>
      </c>
      <c r="AG36" s="87" t="s">
        <v>314</v>
      </c>
      <c r="AH36" s="83" t="b">
        <v>0</v>
      </c>
      <c r="AI36" s="83" t="s">
        <v>318</v>
      </c>
      <c r="AJ36" s="83"/>
      <c r="AK36" s="87" t="s">
        <v>312</v>
      </c>
      <c r="AL36" s="83" t="b">
        <v>0</v>
      </c>
      <c r="AM36" s="83">
        <v>1</v>
      </c>
      <c r="AN36" s="87" t="s">
        <v>312</v>
      </c>
      <c r="AO36" s="87" t="s">
        <v>324</v>
      </c>
      <c r="AP36" s="83" t="b">
        <v>0</v>
      </c>
      <c r="AQ36" s="87" t="s">
        <v>309</v>
      </c>
      <c r="AR36" s="83" t="s">
        <v>196</v>
      </c>
      <c r="AS36" s="83">
        <v>0</v>
      </c>
      <c r="AT36" s="83">
        <v>0</v>
      </c>
      <c r="AU36" s="83"/>
      <c r="AV36" s="83"/>
      <c r="AW36" s="83"/>
      <c r="AX36" s="83"/>
      <c r="AY36" s="83"/>
      <c r="AZ36" s="83"/>
      <c r="BA36" s="83"/>
      <c r="BB36" s="83"/>
      <c r="BC36">
        <v>1</v>
      </c>
      <c r="BD36" s="82" t="str">
        <f>REPLACE(INDEX(GroupVertices[Group],MATCH(Edges[[#This Row],[Vertex 1]],GroupVertices[Vertex],0)),1,1,"")</f>
        <v>1</v>
      </c>
      <c r="BE36" s="82" t="str">
        <f>REPLACE(INDEX(GroupVertices[Group],MATCH(Edges[[#This Row],[Vertex 2]],GroupVertices[Vertex],0)),1,1,"")</f>
        <v>1</v>
      </c>
      <c r="BF36" s="51"/>
      <c r="BG36" s="52"/>
      <c r="BH36" s="51"/>
      <c r="BI36" s="52"/>
      <c r="BJ36" s="51"/>
      <c r="BK36" s="52"/>
      <c r="BL36" s="51"/>
      <c r="BM36" s="52"/>
      <c r="BN36" s="51"/>
    </row>
    <row r="37" spans="1:66" ht="15">
      <c r="A37" s="81" t="s">
        <v>238</v>
      </c>
      <c r="B37" s="81" t="s">
        <v>258</v>
      </c>
      <c r="C37" s="53" t="s">
        <v>785</v>
      </c>
      <c r="D37" s="54">
        <v>3</v>
      </c>
      <c r="E37" s="53" t="s">
        <v>132</v>
      </c>
      <c r="F37" s="55">
        <v>32</v>
      </c>
      <c r="G37" s="53"/>
      <c r="H37" s="57"/>
      <c r="I37" s="56"/>
      <c r="J37" s="56"/>
      <c r="K37" s="36" t="s">
        <v>65</v>
      </c>
      <c r="L37" s="62">
        <v>37</v>
      </c>
      <c r="M37" s="62"/>
      <c r="N37" s="63"/>
      <c r="O37" s="83" t="s">
        <v>274</v>
      </c>
      <c r="P37" s="85">
        <v>44478.70872685185</v>
      </c>
      <c r="Q37" s="83" t="s">
        <v>280</v>
      </c>
      <c r="R37" s="83"/>
      <c r="S37" s="83"/>
      <c r="T37" s="83"/>
      <c r="U37" s="86" t="str">
        <f>HYPERLINK("https://pbs.twimg.com/media/FBRYOanX0AQOhR2.jpg")</f>
        <v>https://pbs.twimg.com/media/FBRYOanX0AQOhR2.jpg</v>
      </c>
      <c r="V37" s="86" t="str">
        <f>HYPERLINK("https://pbs.twimg.com/media/FBRYOanX0AQOhR2.jpg")</f>
        <v>https://pbs.twimg.com/media/FBRYOanX0AQOhR2.jpg</v>
      </c>
      <c r="W37" s="85">
        <v>44478.70872685185</v>
      </c>
      <c r="X37" s="90">
        <v>44478</v>
      </c>
      <c r="Y37" s="87" t="s">
        <v>293</v>
      </c>
      <c r="Z37" s="86" t="str">
        <f>HYPERLINK("https://twitter.com/raaga31280/status/1446883298274250754")</f>
        <v>https://twitter.com/raaga31280/status/1446883298274250754</v>
      </c>
      <c r="AA37" s="83"/>
      <c r="AB37" s="83"/>
      <c r="AC37" s="87" t="s">
        <v>303</v>
      </c>
      <c r="AD37" s="83"/>
      <c r="AE37" s="83" t="b">
        <v>0</v>
      </c>
      <c r="AF37" s="83">
        <v>0</v>
      </c>
      <c r="AG37" s="87" t="s">
        <v>312</v>
      </c>
      <c r="AH37" s="83" t="b">
        <v>0</v>
      </c>
      <c r="AI37" s="83" t="s">
        <v>318</v>
      </c>
      <c r="AJ37" s="83"/>
      <c r="AK37" s="87" t="s">
        <v>312</v>
      </c>
      <c r="AL37" s="83" t="b">
        <v>0</v>
      </c>
      <c r="AM37" s="83">
        <v>1</v>
      </c>
      <c r="AN37" s="87" t="s">
        <v>302</v>
      </c>
      <c r="AO37" s="87" t="s">
        <v>323</v>
      </c>
      <c r="AP37" s="83" t="b">
        <v>0</v>
      </c>
      <c r="AQ37" s="87" t="s">
        <v>302</v>
      </c>
      <c r="AR37" s="83" t="s">
        <v>196</v>
      </c>
      <c r="AS37" s="83">
        <v>0</v>
      </c>
      <c r="AT37" s="83">
        <v>0</v>
      </c>
      <c r="AU37" s="83"/>
      <c r="AV37" s="83"/>
      <c r="AW37" s="83"/>
      <c r="AX37" s="83"/>
      <c r="AY37" s="83"/>
      <c r="AZ37" s="83"/>
      <c r="BA37" s="83"/>
      <c r="BB37" s="83"/>
      <c r="BC37">
        <v>1</v>
      </c>
      <c r="BD37" s="82" t="str">
        <f>REPLACE(INDEX(GroupVertices[Group],MATCH(Edges[[#This Row],[Vertex 1]],GroupVertices[Vertex],0)),1,1,"")</f>
        <v>1</v>
      </c>
      <c r="BE37" s="82" t="str">
        <f>REPLACE(INDEX(GroupVertices[Group],MATCH(Edges[[#This Row],[Vertex 2]],GroupVertices[Vertex],0)),1,1,"")</f>
        <v>1</v>
      </c>
      <c r="BF37" s="51"/>
      <c r="BG37" s="52"/>
      <c r="BH37" s="51"/>
      <c r="BI37" s="52"/>
      <c r="BJ37" s="51"/>
      <c r="BK37" s="52"/>
      <c r="BL37" s="51"/>
      <c r="BM37" s="52"/>
      <c r="BN37" s="51"/>
    </row>
    <row r="38" spans="1:66" ht="15">
      <c r="A38" s="81" t="s">
        <v>237</v>
      </c>
      <c r="B38" s="81" t="s">
        <v>259</v>
      </c>
      <c r="C38" s="53" t="s">
        <v>785</v>
      </c>
      <c r="D38" s="54">
        <v>3</v>
      </c>
      <c r="E38" s="53" t="s">
        <v>132</v>
      </c>
      <c r="F38" s="55">
        <v>32</v>
      </c>
      <c r="G38" s="53"/>
      <c r="H38" s="57"/>
      <c r="I38" s="56"/>
      <c r="J38" s="56"/>
      <c r="K38" s="36" t="s">
        <v>65</v>
      </c>
      <c r="L38" s="62">
        <v>38</v>
      </c>
      <c r="M38" s="62"/>
      <c r="N38" s="63"/>
      <c r="O38" s="83" t="s">
        <v>273</v>
      </c>
      <c r="P38" s="85">
        <v>44478.695185185185</v>
      </c>
      <c r="Q38" s="83" t="s">
        <v>280</v>
      </c>
      <c r="R38" s="83"/>
      <c r="S38" s="83"/>
      <c r="T38" s="83"/>
      <c r="U38" s="86" t="str">
        <f>HYPERLINK("https://pbs.twimg.com/media/FBRYOanX0AQOhR2.jpg")</f>
        <v>https://pbs.twimg.com/media/FBRYOanX0AQOhR2.jpg</v>
      </c>
      <c r="V38" s="86" t="str">
        <f>HYPERLINK("https://pbs.twimg.com/media/FBRYOanX0AQOhR2.jpg")</f>
        <v>https://pbs.twimg.com/media/FBRYOanX0AQOhR2.jpg</v>
      </c>
      <c r="W38" s="85">
        <v>44478.695185185185</v>
      </c>
      <c r="X38" s="90">
        <v>44478</v>
      </c>
      <c r="Y38" s="87" t="s">
        <v>292</v>
      </c>
      <c r="Z38" s="86" t="str">
        <f>HYPERLINK("https://twitter.com/naturaize/status/1446878389135106054")</f>
        <v>https://twitter.com/naturaize/status/1446878389135106054</v>
      </c>
      <c r="AA38" s="83"/>
      <c r="AB38" s="83"/>
      <c r="AC38" s="87" t="s">
        <v>302</v>
      </c>
      <c r="AD38" s="87" t="s">
        <v>309</v>
      </c>
      <c r="AE38" s="83" t="b">
        <v>0</v>
      </c>
      <c r="AF38" s="83">
        <v>6</v>
      </c>
      <c r="AG38" s="87" t="s">
        <v>314</v>
      </c>
      <c r="AH38" s="83" t="b">
        <v>0</v>
      </c>
      <c r="AI38" s="83" t="s">
        <v>318</v>
      </c>
      <c r="AJ38" s="83"/>
      <c r="AK38" s="87" t="s">
        <v>312</v>
      </c>
      <c r="AL38" s="83" t="b">
        <v>0</v>
      </c>
      <c r="AM38" s="83">
        <v>1</v>
      </c>
      <c r="AN38" s="87" t="s">
        <v>312</v>
      </c>
      <c r="AO38" s="87" t="s">
        <v>324</v>
      </c>
      <c r="AP38" s="83" t="b">
        <v>0</v>
      </c>
      <c r="AQ38" s="87" t="s">
        <v>309</v>
      </c>
      <c r="AR38" s="83" t="s">
        <v>196</v>
      </c>
      <c r="AS38" s="83">
        <v>0</v>
      </c>
      <c r="AT38" s="83">
        <v>0</v>
      </c>
      <c r="AU38" s="83"/>
      <c r="AV38" s="83"/>
      <c r="AW38" s="83"/>
      <c r="AX38" s="83"/>
      <c r="AY38" s="83"/>
      <c r="AZ38" s="83"/>
      <c r="BA38" s="83"/>
      <c r="BB38" s="83"/>
      <c r="BC38">
        <v>1</v>
      </c>
      <c r="BD38" s="82" t="str">
        <f>REPLACE(INDEX(GroupVertices[Group],MATCH(Edges[[#This Row],[Vertex 1]],GroupVertices[Vertex],0)),1,1,"")</f>
        <v>1</v>
      </c>
      <c r="BE38" s="82" t="str">
        <f>REPLACE(INDEX(GroupVertices[Group],MATCH(Edges[[#This Row],[Vertex 2]],GroupVertices[Vertex],0)),1,1,"")</f>
        <v>1</v>
      </c>
      <c r="BF38" s="51"/>
      <c r="BG38" s="52"/>
      <c r="BH38" s="51"/>
      <c r="BI38" s="52"/>
      <c r="BJ38" s="51"/>
      <c r="BK38" s="52"/>
      <c r="BL38" s="51"/>
      <c r="BM38" s="52"/>
      <c r="BN38" s="51"/>
    </row>
    <row r="39" spans="1:66" ht="15">
      <c r="A39" s="81" t="s">
        <v>238</v>
      </c>
      <c r="B39" s="81" t="s">
        <v>259</v>
      </c>
      <c r="C39" s="53" t="s">
        <v>785</v>
      </c>
      <c r="D39" s="54">
        <v>3</v>
      </c>
      <c r="E39" s="53" t="s">
        <v>132</v>
      </c>
      <c r="F39" s="55">
        <v>32</v>
      </c>
      <c r="G39" s="53"/>
      <c r="H39" s="57"/>
      <c r="I39" s="56"/>
      <c r="J39" s="56"/>
      <c r="K39" s="36" t="s">
        <v>65</v>
      </c>
      <c r="L39" s="62">
        <v>39</v>
      </c>
      <c r="M39" s="62"/>
      <c r="N39" s="63"/>
      <c r="O39" s="83" t="s">
        <v>274</v>
      </c>
      <c r="P39" s="85">
        <v>44478.70872685185</v>
      </c>
      <c r="Q39" s="83" t="s">
        <v>280</v>
      </c>
      <c r="R39" s="83"/>
      <c r="S39" s="83"/>
      <c r="T39" s="83"/>
      <c r="U39" s="86" t="str">
        <f>HYPERLINK("https://pbs.twimg.com/media/FBRYOanX0AQOhR2.jpg")</f>
        <v>https://pbs.twimg.com/media/FBRYOanX0AQOhR2.jpg</v>
      </c>
      <c r="V39" s="86" t="str">
        <f>HYPERLINK("https://pbs.twimg.com/media/FBRYOanX0AQOhR2.jpg")</f>
        <v>https://pbs.twimg.com/media/FBRYOanX0AQOhR2.jpg</v>
      </c>
      <c r="W39" s="85">
        <v>44478.70872685185</v>
      </c>
      <c r="X39" s="90">
        <v>44478</v>
      </c>
      <c r="Y39" s="87" t="s">
        <v>293</v>
      </c>
      <c r="Z39" s="86" t="str">
        <f>HYPERLINK("https://twitter.com/raaga31280/status/1446883298274250754")</f>
        <v>https://twitter.com/raaga31280/status/1446883298274250754</v>
      </c>
      <c r="AA39" s="83"/>
      <c r="AB39" s="83"/>
      <c r="AC39" s="87" t="s">
        <v>303</v>
      </c>
      <c r="AD39" s="83"/>
      <c r="AE39" s="83" t="b">
        <v>0</v>
      </c>
      <c r="AF39" s="83">
        <v>0</v>
      </c>
      <c r="AG39" s="87" t="s">
        <v>312</v>
      </c>
      <c r="AH39" s="83" t="b">
        <v>0</v>
      </c>
      <c r="AI39" s="83" t="s">
        <v>318</v>
      </c>
      <c r="AJ39" s="83"/>
      <c r="AK39" s="87" t="s">
        <v>312</v>
      </c>
      <c r="AL39" s="83" t="b">
        <v>0</v>
      </c>
      <c r="AM39" s="83">
        <v>1</v>
      </c>
      <c r="AN39" s="87" t="s">
        <v>302</v>
      </c>
      <c r="AO39" s="87" t="s">
        <v>323</v>
      </c>
      <c r="AP39" s="83" t="b">
        <v>0</v>
      </c>
      <c r="AQ39" s="87" t="s">
        <v>302</v>
      </c>
      <c r="AR39" s="83" t="s">
        <v>196</v>
      </c>
      <c r="AS39" s="83">
        <v>0</v>
      </c>
      <c r="AT39" s="83">
        <v>0</v>
      </c>
      <c r="AU39" s="83"/>
      <c r="AV39" s="83"/>
      <c r="AW39" s="83"/>
      <c r="AX39" s="83"/>
      <c r="AY39" s="83"/>
      <c r="AZ39" s="83"/>
      <c r="BA39" s="83"/>
      <c r="BB39" s="83"/>
      <c r="BC39">
        <v>1</v>
      </c>
      <c r="BD39" s="82" t="str">
        <f>REPLACE(INDEX(GroupVertices[Group],MATCH(Edges[[#This Row],[Vertex 1]],GroupVertices[Vertex],0)),1,1,"")</f>
        <v>1</v>
      </c>
      <c r="BE39" s="82" t="str">
        <f>REPLACE(INDEX(GroupVertices[Group],MATCH(Edges[[#This Row],[Vertex 2]],GroupVertices[Vertex],0)),1,1,"")</f>
        <v>1</v>
      </c>
      <c r="BF39" s="51"/>
      <c r="BG39" s="52"/>
      <c r="BH39" s="51"/>
      <c r="BI39" s="52"/>
      <c r="BJ39" s="51"/>
      <c r="BK39" s="52"/>
      <c r="BL39" s="51"/>
      <c r="BM39" s="52"/>
      <c r="BN39" s="51"/>
    </row>
    <row r="40" spans="1:66" ht="15">
      <c r="A40" s="81" t="s">
        <v>237</v>
      </c>
      <c r="B40" s="81" t="s">
        <v>260</v>
      </c>
      <c r="C40" s="53" t="s">
        <v>785</v>
      </c>
      <c r="D40" s="54">
        <v>3</v>
      </c>
      <c r="E40" s="53" t="s">
        <v>132</v>
      </c>
      <c r="F40" s="55">
        <v>32</v>
      </c>
      <c r="G40" s="53"/>
      <c r="H40" s="57"/>
      <c r="I40" s="56"/>
      <c r="J40" s="56"/>
      <c r="K40" s="36" t="s">
        <v>65</v>
      </c>
      <c r="L40" s="62">
        <v>40</v>
      </c>
      <c r="M40" s="62"/>
      <c r="N40" s="63"/>
      <c r="O40" s="83" t="s">
        <v>273</v>
      </c>
      <c r="P40" s="85">
        <v>44478.695185185185</v>
      </c>
      <c r="Q40" s="83" t="s">
        <v>280</v>
      </c>
      <c r="R40" s="83"/>
      <c r="S40" s="83"/>
      <c r="T40" s="83"/>
      <c r="U40" s="86" t="str">
        <f>HYPERLINK("https://pbs.twimg.com/media/FBRYOanX0AQOhR2.jpg")</f>
        <v>https://pbs.twimg.com/media/FBRYOanX0AQOhR2.jpg</v>
      </c>
      <c r="V40" s="86" t="str">
        <f>HYPERLINK("https://pbs.twimg.com/media/FBRYOanX0AQOhR2.jpg")</f>
        <v>https://pbs.twimg.com/media/FBRYOanX0AQOhR2.jpg</v>
      </c>
      <c r="W40" s="85">
        <v>44478.695185185185</v>
      </c>
      <c r="X40" s="90">
        <v>44478</v>
      </c>
      <c r="Y40" s="87" t="s">
        <v>292</v>
      </c>
      <c r="Z40" s="86" t="str">
        <f>HYPERLINK("https://twitter.com/naturaize/status/1446878389135106054")</f>
        <v>https://twitter.com/naturaize/status/1446878389135106054</v>
      </c>
      <c r="AA40" s="83"/>
      <c r="AB40" s="83"/>
      <c r="AC40" s="87" t="s">
        <v>302</v>
      </c>
      <c r="AD40" s="87" t="s">
        <v>309</v>
      </c>
      <c r="AE40" s="83" t="b">
        <v>0</v>
      </c>
      <c r="AF40" s="83">
        <v>6</v>
      </c>
      <c r="AG40" s="87" t="s">
        <v>314</v>
      </c>
      <c r="AH40" s="83" t="b">
        <v>0</v>
      </c>
      <c r="AI40" s="83" t="s">
        <v>318</v>
      </c>
      <c r="AJ40" s="83"/>
      <c r="AK40" s="87" t="s">
        <v>312</v>
      </c>
      <c r="AL40" s="83" t="b">
        <v>0</v>
      </c>
      <c r="AM40" s="83">
        <v>1</v>
      </c>
      <c r="AN40" s="87" t="s">
        <v>312</v>
      </c>
      <c r="AO40" s="87" t="s">
        <v>324</v>
      </c>
      <c r="AP40" s="83" t="b">
        <v>0</v>
      </c>
      <c r="AQ40" s="87" t="s">
        <v>309</v>
      </c>
      <c r="AR40" s="83" t="s">
        <v>196</v>
      </c>
      <c r="AS40" s="83">
        <v>0</v>
      </c>
      <c r="AT40" s="83">
        <v>0</v>
      </c>
      <c r="AU40" s="83"/>
      <c r="AV40" s="83"/>
      <c r="AW40" s="83"/>
      <c r="AX40" s="83"/>
      <c r="AY40" s="83"/>
      <c r="AZ40" s="83"/>
      <c r="BA40" s="83"/>
      <c r="BB40" s="83"/>
      <c r="BC40">
        <v>1</v>
      </c>
      <c r="BD40" s="82" t="str">
        <f>REPLACE(INDEX(GroupVertices[Group],MATCH(Edges[[#This Row],[Vertex 1]],GroupVertices[Vertex],0)),1,1,"")</f>
        <v>1</v>
      </c>
      <c r="BE40" s="82" t="str">
        <f>REPLACE(INDEX(GroupVertices[Group],MATCH(Edges[[#This Row],[Vertex 2]],GroupVertices[Vertex],0)),1,1,"")</f>
        <v>1</v>
      </c>
      <c r="BF40" s="51"/>
      <c r="BG40" s="52"/>
      <c r="BH40" s="51"/>
      <c r="BI40" s="52"/>
      <c r="BJ40" s="51"/>
      <c r="BK40" s="52"/>
      <c r="BL40" s="51"/>
      <c r="BM40" s="52"/>
      <c r="BN40" s="51"/>
    </row>
    <row r="41" spans="1:66" ht="15">
      <c r="A41" s="81" t="s">
        <v>238</v>
      </c>
      <c r="B41" s="81" t="s">
        <v>260</v>
      </c>
      <c r="C41" s="53" t="s">
        <v>785</v>
      </c>
      <c r="D41" s="54">
        <v>3</v>
      </c>
      <c r="E41" s="53" t="s">
        <v>132</v>
      </c>
      <c r="F41" s="55">
        <v>32</v>
      </c>
      <c r="G41" s="53"/>
      <c r="H41" s="57"/>
      <c r="I41" s="56"/>
      <c r="J41" s="56"/>
      <c r="K41" s="36" t="s">
        <v>65</v>
      </c>
      <c r="L41" s="62">
        <v>41</v>
      </c>
      <c r="M41" s="62"/>
      <c r="N41" s="63"/>
      <c r="O41" s="83" t="s">
        <v>274</v>
      </c>
      <c r="P41" s="85">
        <v>44478.70872685185</v>
      </c>
      <c r="Q41" s="83" t="s">
        <v>280</v>
      </c>
      <c r="R41" s="83"/>
      <c r="S41" s="83"/>
      <c r="T41" s="83"/>
      <c r="U41" s="86" t="str">
        <f>HYPERLINK("https://pbs.twimg.com/media/FBRYOanX0AQOhR2.jpg")</f>
        <v>https://pbs.twimg.com/media/FBRYOanX0AQOhR2.jpg</v>
      </c>
      <c r="V41" s="86" t="str">
        <f>HYPERLINK("https://pbs.twimg.com/media/FBRYOanX0AQOhR2.jpg")</f>
        <v>https://pbs.twimg.com/media/FBRYOanX0AQOhR2.jpg</v>
      </c>
      <c r="W41" s="85">
        <v>44478.70872685185</v>
      </c>
      <c r="X41" s="90">
        <v>44478</v>
      </c>
      <c r="Y41" s="87" t="s">
        <v>293</v>
      </c>
      <c r="Z41" s="86" t="str">
        <f>HYPERLINK("https://twitter.com/raaga31280/status/1446883298274250754")</f>
        <v>https://twitter.com/raaga31280/status/1446883298274250754</v>
      </c>
      <c r="AA41" s="83"/>
      <c r="AB41" s="83"/>
      <c r="AC41" s="87" t="s">
        <v>303</v>
      </c>
      <c r="AD41" s="83"/>
      <c r="AE41" s="83" t="b">
        <v>0</v>
      </c>
      <c r="AF41" s="83">
        <v>0</v>
      </c>
      <c r="AG41" s="87" t="s">
        <v>312</v>
      </c>
      <c r="AH41" s="83" t="b">
        <v>0</v>
      </c>
      <c r="AI41" s="83" t="s">
        <v>318</v>
      </c>
      <c r="AJ41" s="83"/>
      <c r="AK41" s="87" t="s">
        <v>312</v>
      </c>
      <c r="AL41" s="83" t="b">
        <v>0</v>
      </c>
      <c r="AM41" s="83">
        <v>1</v>
      </c>
      <c r="AN41" s="87" t="s">
        <v>302</v>
      </c>
      <c r="AO41" s="87" t="s">
        <v>323</v>
      </c>
      <c r="AP41" s="83" t="b">
        <v>0</v>
      </c>
      <c r="AQ41" s="87" t="s">
        <v>302</v>
      </c>
      <c r="AR41" s="83" t="s">
        <v>196</v>
      </c>
      <c r="AS41" s="83">
        <v>0</v>
      </c>
      <c r="AT41" s="83">
        <v>0</v>
      </c>
      <c r="AU41" s="83"/>
      <c r="AV41" s="83"/>
      <c r="AW41" s="83"/>
      <c r="AX41" s="83"/>
      <c r="AY41" s="83"/>
      <c r="AZ41" s="83"/>
      <c r="BA41" s="83"/>
      <c r="BB41" s="83"/>
      <c r="BC41">
        <v>1</v>
      </c>
      <c r="BD41" s="82" t="str">
        <f>REPLACE(INDEX(GroupVertices[Group],MATCH(Edges[[#This Row],[Vertex 1]],GroupVertices[Vertex],0)),1,1,"")</f>
        <v>1</v>
      </c>
      <c r="BE41" s="82" t="str">
        <f>REPLACE(INDEX(GroupVertices[Group],MATCH(Edges[[#This Row],[Vertex 2]],GroupVertices[Vertex],0)),1,1,"")</f>
        <v>1</v>
      </c>
      <c r="BF41" s="51"/>
      <c r="BG41" s="52"/>
      <c r="BH41" s="51"/>
      <c r="BI41" s="52"/>
      <c r="BJ41" s="51"/>
      <c r="BK41" s="52"/>
      <c r="BL41" s="51"/>
      <c r="BM41" s="52"/>
      <c r="BN41" s="51"/>
    </row>
    <row r="42" spans="1:66" ht="15">
      <c r="A42" s="81" t="s">
        <v>237</v>
      </c>
      <c r="B42" s="81" t="s">
        <v>261</v>
      </c>
      <c r="C42" s="53" t="s">
        <v>785</v>
      </c>
      <c r="D42" s="54">
        <v>3</v>
      </c>
      <c r="E42" s="53" t="s">
        <v>132</v>
      </c>
      <c r="F42" s="55">
        <v>32</v>
      </c>
      <c r="G42" s="53"/>
      <c r="H42" s="57"/>
      <c r="I42" s="56"/>
      <c r="J42" s="56"/>
      <c r="K42" s="36" t="s">
        <v>65</v>
      </c>
      <c r="L42" s="62">
        <v>42</v>
      </c>
      <c r="M42" s="62"/>
      <c r="N42" s="63"/>
      <c r="O42" s="83" t="s">
        <v>273</v>
      </c>
      <c r="P42" s="85">
        <v>44478.695185185185</v>
      </c>
      <c r="Q42" s="83" t="s">
        <v>280</v>
      </c>
      <c r="R42" s="83"/>
      <c r="S42" s="83"/>
      <c r="T42" s="83"/>
      <c r="U42" s="86" t="str">
        <f>HYPERLINK("https://pbs.twimg.com/media/FBRYOanX0AQOhR2.jpg")</f>
        <v>https://pbs.twimg.com/media/FBRYOanX0AQOhR2.jpg</v>
      </c>
      <c r="V42" s="86" t="str">
        <f>HYPERLINK("https://pbs.twimg.com/media/FBRYOanX0AQOhR2.jpg")</f>
        <v>https://pbs.twimg.com/media/FBRYOanX0AQOhR2.jpg</v>
      </c>
      <c r="W42" s="85">
        <v>44478.695185185185</v>
      </c>
      <c r="X42" s="90">
        <v>44478</v>
      </c>
      <c r="Y42" s="87" t="s">
        <v>292</v>
      </c>
      <c r="Z42" s="86" t="str">
        <f>HYPERLINK("https://twitter.com/naturaize/status/1446878389135106054")</f>
        <v>https://twitter.com/naturaize/status/1446878389135106054</v>
      </c>
      <c r="AA42" s="83"/>
      <c r="AB42" s="83"/>
      <c r="AC42" s="87" t="s">
        <v>302</v>
      </c>
      <c r="AD42" s="87" t="s">
        <v>309</v>
      </c>
      <c r="AE42" s="83" t="b">
        <v>0</v>
      </c>
      <c r="AF42" s="83">
        <v>6</v>
      </c>
      <c r="AG42" s="87" t="s">
        <v>314</v>
      </c>
      <c r="AH42" s="83" t="b">
        <v>0</v>
      </c>
      <c r="AI42" s="83" t="s">
        <v>318</v>
      </c>
      <c r="AJ42" s="83"/>
      <c r="AK42" s="87" t="s">
        <v>312</v>
      </c>
      <c r="AL42" s="83" t="b">
        <v>0</v>
      </c>
      <c r="AM42" s="83">
        <v>1</v>
      </c>
      <c r="AN42" s="87" t="s">
        <v>312</v>
      </c>
      <c r="AO42" s="87" t="s">
        <v>324</v>
      </c>
      <c r="AP42" s="83" t="b">
        <v>0</v>
      </c>
      <c r="AQ42" s="87" t="s">
        <v>309</v>
      </c>
      <c r="AR42" s="83" t="s">
        <v>196</v>
      </c>
      <c r="AS42" s="83">
        <v>0</v>
      </c>
      <c r="AT42" s="83">
        <v>0</v>
      </c>
      <c r="AU42" s="83"/>
      <c r="AV42" s="83"/>
      <c r="AW42" s="83"/>
      <c r="AX42" s="83"/>
      <c r="AY42" s="83"/>
      <c r="AZ42" s="83"/>
      <c r="BA42" s="83"/>
      <c r="BB42" s="83"/>
      <c r="BC42">
        <v>1</v>
      </c>
      <c r="BD42" s="82" t="str">
        <f>REPLACE(INDEX(GroupVertices[Group],MATCH(Edges[[#This Row],[Vertex 1]],GroupVertices[Vertex],0)),1,1,"")</f>
        <v>1</v>
      </c>
      <c r="BE42" s="82" t="str">
        <f>REPLACE(INDEX(GroupVertices[Group],MATCH(Edges[[#This Row],[Vertex 2]],GroupVertices[Vertex],0)),1,1,"")</f>
        <v>1</v>
      </c>
      <c r="BF42" s="51"/>
      <c r="BG42" s="52"/>
      <c r="BH42" s="51"/>
      <c r="BI42" s="52"/>
      <c r="BJ42" s="51"/>
      <c r="BK42" s="52"/>
      <c r="BL42" s="51"/>
      <c r="BM42" s="52"/>
      <c r="BN42" s="51"/>
    </row>
    <row r="43" spans="1:66" ht="15">
      <c r="A43" s="81" t="s">
        <v>238</v>
      </c>
      <c r="B43" s="81" t="s">
        <v>261</v>
      </c>
      <c r="C43" s="53" t="s">
        <v>785</v>
      </c>
      <c r="D43" s="54">
        <v>3</v>
      </c>
      <c r="E43" s="53" t="s">
        <v>132</v>
      </c>
      <c r="F43" s="55">
        <v>32</v>
      </c>
      <c r="G43" s="53"/>
      <c r="H43" s="57"/>
      <c r="I43" s="56"/>
      <c r="J43" s="56"/>
      <c r="K43" s="36" t="s">
        <v>65</v>
      </c>
      <c r="L43" s="62">
        <v>43</v>
      </c>
      <c r="M43" s="62"/>
      <c r="N43" s="63"/>
      <c r="O43" s="83" t="s">
        <v>274</v>
      </c>
      <c r="P43" s="85">
        <v>44478.70872685185</v>
      </c>
      <c r="Q43" s="83" t="s">
        <v>280</v>
      </c>
      <c r="R43" s="83"/>
      <c r="S43" s="83"/>
      <c r="T43" s="83"/>
      <c r="U43" s="86" t="str">
        <f>HYPERLINK("https://pbs.twimg.com/media/FBRYOanX0AQOhR2.jpg")</f>
        <v>https://pbs.twimg.com/media/FBRYOanX0AQOhR2.jpg</v>
      </c>
      <c r="V43" s="86" t="str">
        <f>HYPERLINK("https://pbs.twimg.com/media/FBRYOanX0AQOhR2.jpg")</f>
        <v>https://pbs.twimg.com/media/FBRYOanX0AQOhR2.jpg</v>
      </c>
      <c r="W43" s="85">
        <v>44478.70872685185</v>
      </c>
      <c r="X43" s="90">
        <v>44478</v>
      </c>
      <c r="Y43" s="87" t="s">
        <v>293</v>
      </c>
      <c r="Z43" s="86" t="str">
        <f>HYPERLINK("https://twitter.com/raaga31280/status/1446883298274250754")</f>
        <v>https://twitter.com/raaga31280/status/1446883298274250754</v>
      </c>
      <c r="AA43" s="83"/>
      <c r="AB43" s="83"/>
      <c r="AC43" s="87" t="s">
        <v>303</v>
      </c>
      <c r="AD43" s="83"/>
      <c r="AE43" s="83" t="b">
        <v>0</v>
      </c>
      <c r="AF43" s="83">
        <v>0</v>
      </c>
      <c r="AG43" s="87" t="s">
        <v>312</v>
      </c>
      <c r="AH43" s="83" t="b">
        <v>0</v>
      </c>
      <c r="AI43" s="83" t="s">
        <v>318</v>
      </c>
      <c r="AJ43" s="83"/>
      <c r="AK43" s="87" t="s">
        <v>312</v>
      </c>
      <c r="AL43" s="83" t="b">
        <v>0</v>
      </c>
      <c r="AM43" s="83">
        <v>1</v>
      </c>
      <c r="AN43" s="87" t="s">
        <v>302</v>
      </c>
      <c r="AO43" s="87" t="s">
        <v>323</v>
      </c>
      <c r="AP43" s="83" t="b">
        <v>0</v>
      </c>
      <c r="AQ43" s="87" t="s">
        <v>302</v>
      </c>
      <c r="AR43" s="83" t="s">
        <v>196</v>
      </c>
      <c r="AS43" s="83">
        <v>0</v>
      </c>
      <c r="AT43" s="83">
        <v>0</v>
      </c>
      <c r="AU43" s="83"/>
      <c r="AV43" s="83"/>
      <c r="AW43" s="83"/>
      <c r="AX43" s="83"/>
      <c r="AY43" s="83"/>
      <c r="AZ43" s="83"/>
      <c r="BA43" s="83"/>
      <c r="BB43" s="83"/>
      <c r="BC43">
        <v>1</v>
      </c>
      <c r="BD43" s="82" t="str">
        <f>REPLACE(INDEX(GroupVertices[Group],MATCH(Edges[[#This Row],[Vertex 1]],GroupVertices[Vertex],0)),1,1,"")</f>
        <v>1</v>
      </c>
      <c r="BE43" s="82" t="str">
        <f>REPLACE(INDEX(GroupVertices[Group],MATCH(Edges[[#This Row],[Vertex 2]],GroupVertices[Vertex],0)),1,1,"")</f>
        <v>1</v>
      </c>
      <c r="BF43" s="51"/>
      <c r="BG43" s="52"/>
      <c r="BH43" s="51"/>
      <c r="BI43" s="52"/>
      <c r="BJ43" s="51"/>
      <c r="BK43" s="52"/>
      <c r="BL43" s="51"/>
      <c r="BM43" s="52"/>
      <c r="BN43" s="51"/>
    </row>
    <row r="44" spans="1:66" ht="15">
      <c r="A44" s="81" t="s">
        <v>237</v>
      </c>
      <c r="B44" s="81" t="s">
        <v>262</v>
      </c>
      <c r="C44" s="53" t="s">
        <v>785</v>
      </c>
      <c r="D44" s="54">
        <v>3</v>
      </c>
      <c r="E44" s="53" t="s">
        <v>132</v>
      </c>
      <c r="F44" s="55">
        <v>32</v>
      </c>
      <c r="G44" s="53"/>
      <c r="H44" s="57"/>
      <c r="I44" s="56"/>
      <c r="J44" s="56"/>
      <c r="K44" s="36" t="s">
        <v>65</v>
      </c>
      <c r="L44" s="62">
        <v>44</v>
      </c>
      <c r="M44" s="62"/>
      <c r="N44" s="63"/>
      <c r="O44" s="83" t="s">
        <v>273</v>
      </c>
      <c r="P44" s="85">
        <v>44478.695185185185</v>
      </c>
      <c r="Q44" s="83" t="s">
        <v>280</v>
      </c>
      <c r="R44" s="83"/>
      <c r="S44" s="83"/>
      <c r="T44" s="83"/>
      <c r="U44" s="86" t="str">
        <f>HYPERLINK("https://pbs.twimg.com/media/FBRYOanX0AQOhR2.jpg")</f>
        <v>https://pbs.twimg.com/media/FBRYOanX0AQOhR2.jpg</v>
      </c>
      <c r="V44" s="86" t="str">
        <f>HYPERLINK("https://pbs.twimg.com/media/FBRYOanX0AQOhR2.jpg")</f>
        <v>https://pbs.twimg.com/media/FBRYOanX0AQOhR2.jpg</v>
      </c>
      <c r="W44" s="85">
        <v>44478.695185185185</v>
      </c>
      <c r="X44" s="90">
        <v>44478</v>
      </c>
      <c r="Y44" s="87" t="s">
        <v>292</v>
      </c>
      <c r="Z44" s="86" t="str">
        <f>HYPERLINK("https://twitter.com/naturaize/status/1446878389135106054")</f>
        <v>https://twitter.com/naturaize/status/1446878389135106054</v>
      </c>
      <c r="AA44" s="83"/>
      <c r="AB44" s="83"/>
      <c r="AC44" s="87" t="s">
        <v>302</v>
      </c>
      <c r="AD44" s="87" t="s">
        <v>309</v>
      </c>
      <c r="AE44" s="83" t="b">
        <v>0</v>
      </c>
      <c r="AF44" s="83">
        <v>6</v>
      </c>
      <c r="AG44" s="87" t="s">
        <v>314</v>
      </c>
      <c r="AH44" s="83" t="b">
        <v>0</v>
      </c>
      <c r="AI44" s="83" t="s">
        <v>318</v>
      </c>
      <c r="AJ44" s="83"/>
      <c r="AK44" s="87" t="s">
        <v>312</v>
      </c>
      <c r="AL44" s="83" t="b">
        <v>0</v>
      </c>
      <c r="AM44" s="83">
        <v>1</v>
      </c>
      <c r="AN44" s="87" t="s">
        <v>312</v>
      </c>
      <c r="AO44" s="87" t="s">
        <v>324</v>
      </c>
      <c r="AP44" s="83" t="b">
        <v>0</v>
      </c>
      <c r="AQ44" s="87" t="s">
        <v>309</v>
      </c>
      <c r="AR44" s="83" t="s">
        <v>196</v>
      </c>
      <c r="AS44" s="83">
        <v>0</v>
      </c>
      <c r="AT44" s="83">
        <v>0</v>
      </c>
      <c r="AU44" s="83"/>
      <c r="AV44" s="83"/>
      <c r="AW44" s="83"/>
      <c r="AX44" s="83"/>
      <c r="AY44" s="83"/>
      <c r="AZ44" s="83"/>
      <c r="BA44" s="83"/>
      <c r="BB44" s="83"/>
      <c r="BC44">
        <v>1</v>
      </c>
      <c r="BD44" s="82" t="str">
        <f>REPLACE(INDEX(GroupVertices[Group],MATCH(Edges[[#This Row],[Vertex 1]],GroupVertices[Vertex],0)),1,1,"")</f>
        <v>1</v>
      </c>
      <c r="BE44" s="82" t="str">
        <f>REPLACE(INDEX(GroupVertices[Group],MATCH(Edges[[#This Row],[Vertex 2]],GroupVertices[Vertex],0)),1,1,"")</f>
        <v>1</v>
      </c>
      <c r="BF44" s="51"/>
      <c r="BG44" s="52"/>
      <c r="BH44" s="51"/>
      <c r="BI44" s="52"/>
      <c r="BJ44" s="51"/>
      <c r="BK44" s="52"/>
      <c r="BL44" s="51"/>
      <c r="BM44" s="52"/>
      <c r="BN44" s="51"/>
    </row>
    <row r="45" spans="1:66" ht="15">
      <c r="A45" s="81" t="s">
        <v>238</v>
      </c>
      <c r="B45" s="81" t="s">
        <v>262</v>
      </c>
      <c r="C45" s="53" t="s">
        <v>785</v>
      </c>
      <c r="D45" s="54">
        <v>3</v>
      </c>
      <c r="E45" s="53" t="s">
        <v>132</v>
      </c>
      <c r="F45" s="55">
        <v>32</v>
      </c>
      <c r="G45" s="53"/>
      <c r="H45" s="57"/>
      <c r="I45" s="56"/>
      <c r="J45" s="56"/>
      <c r="K45" s="36" t="s">
        <v>65</v>
      </c>
      <c r="L45" s="62">
        <v>45</v>
      </c>
      <c r="M45" s="62"/>
      <c r="N45" s="63"/>
      <c r="O45" s="83" t="s">
        <v>274</v>
      </c>
      <c r="P45" s="85">
        <v>44478.70872685185</v>
      </c>
      <c r="Q45" s="83" t="s">
        <v>280</v>
      </c>
      <c r="R45" s="83"/>
      <c r="S45" s="83"/>
      <c r="T45" s="83"/>
      <c r="U45" s="86" t="str">
        <f>HYPERLINK("https://pbs.twimg.com/media/FBRYOanX0AQOhR2.jpg")</f>
        <v>https://pbs.twimg.com/media/FBRYOanX0AQOhR2.jpg</v>
      </c>
      <c r="V45" s="86" t="str">
        <f>HYPERLINK("https://pbs.twimg.com/media/FBRYOanX0AQOhR2.jpg")</f>
        <v>https://pbs.twimg.com/media/FBRYOanX0AQOhR2.jpg</v>
      </c>
      <c r="W45" s="85">
        <v>44478.70872685185</v>
      </c>
      <c r="X45" s="90">
        <v>44478</v>
      </c>
      <c r="Y45" s="87" t="s">
        <v>293</v>
      </c>
      <c r="Z45" s="86" t="str">
        <f>HYPERLINK("https://twitter.com/raaga31280/status/1446883298274250754")</f>
        <v>https://twitter.com/raaga31280/status/1446883298274250754</v>
      </c>
      <c r="AA45" s="83"/>
      <c r="AB45" s="83"/>
      <c r="AC45" s="87" t="s">
        <v>303</v>
      </c>
      <c r="AD45" s="83"/>
      <c r="AE45" s="83" t="b">
        <v>0</v>
      </c>
      <c r="AF45" s="83">
        <v>0</v>
      </c>
      <c r="AG45" s="87" t="s">
        <v>312</v>
      </c>
      <c r="AH45" s="83" t="b">
        <v>0</v>
      </c>
      <c r="AI45" s="83" t="s">
        <v>318</v>
      </c>
      <c r="AJ45" s="83"/>
      <c r="AK45" s="87" t="s">
        <v>312</v>
      </c>
      <c r="AL45" s="83" t="b">
        <v>0</v>
      </c>
      <c r="AM45" s="83">
        <v>1</v>
      </c>
      <c r="AN45" s="87" t="s">
        <v>302</v>
      </c>
      <c r="AO45" s="87" t="s">
        <v>323</v>
      </c>
      <c r="AP45" s="83" t="b">
        <v>0</v>
      </c>
      <c r="AQ45" s="87" t="s">
        <v>302</v>
      </c>
      <c r="AR45" s="83" t="s">
        <v>196</v>
      </c>
      <c r="AS45" s="83">
        <v>0</v>
      </c>
      <c r="AT45" s="83">
        <v>0</v>
      </c>
      <c r="AU45" s="83"/>
      <c r="AV45" s="83"/>
      <c r="AW45" s="83"/>
      <c r="AX45" s="83"/>
      <c r="AY45" s="83"/>
      <c r="AZ45" s="83"/>
      <c r="BA45" s="83"/>
      <c r="BB45" s="83"/>
      <c r="BC45">
        <v>1</v>
      </c>
      <c r="BD45" s="82" t="str">
        <f>REPLACE(INDEX(GroupVertices[Group],MATCH(Edges[[#This Row],[Vertex 1]],GroupVertices[Vertex],0)),1,1,"")</f>
        <v>1</v>
      </c>
      <c r="BE45" s="82" t="str">
        <f>REPLACE(INDEX(GroupVertices[Group],MATCH(Edges[[#This Row],[Vertex 2]],GroupVertices[Vertex],0)),1,1,"")</f>
        <v>1</v>
      </c>
      <c r="BF45" s="51"/>
      <c r="BG45" s="52"/>
      <c r="BH45" s="51"/>
      <c r="BI45" s="52"/>
      <c r="BJ45" s="51"/>
      <c r="BK45" s="52"/>
      <c r="BL45" s="51"/>
      <c r="BM45" s="52"/>
      <c r="BN45" s="51"/>
    </row>
    <row r="46" spans="1:66" ht="15">
      <c r="A46" s="81" t="s">
        <v>237</v>
      </c>
      <c r="B46" s="81" t="s">
        <v>263</v>
      </c>
      <c r="C46" s="53" t="s">
        <v>785</v>
      </c>
      <c r="D46" s="54">
        <v>3</v>
      </c>
      <c r="E46" s="53" t="s">
        <v>132</v>
      </c>
      <c r="F46" s="55">
        <v>32</v>
      </c>
      <c r="G46" s="53"/>
      <c r="H46" s="57"/>
      <c r="I46" s="56"/>
      <c r="J46" s="56"/>
      <c r="K46" s="36" t="s">
        <v>65</v>
      </c>
      <c r="L46" s="62">
        <v>46</v>
      </c>
      <c r="M46" s="62"/>
      <c r="N46" s="63"/>
      <c r="O46" s="83" t="s">
        <v>273</v>
      </c>
      <c r="P46" s="85">
        <v>44478.695185185185</v>
      </c>
      <c r="Q46" s="83" t="s">
        <v>280</v>
      </c>
      <c r="R46" s="83"/>
      <c r="S46" s="83"/>
      <c r="T46" s="83"/>
      <c r="U46" s="86" t="str">
        <f>HYPERLINK("https://pbs.twimg.com/media/FBRYOanX0AQOhR2.jpg")</f>
        <v>https://pbs.twimg.com/media/FBRYOanX0AQOhR2.jpg</v>
      </c>
      <c r="V46" s="86" t="str">
        <f>HYPERLINK("https://pbs.twimg.com/media/FBRYOanX0AQOhR2.jpg")</f>
        <v>https://pbs.twimg.com/media/FBRYOanX0AQOhR2.jpg</v>
      </c>
      <c r="W46" s="85">
        <v>44478.695185185185</v>
      </c>
      <c r="X46" s="90">
        <v>44478</v>
      </c>
      <c r="Y46" s="87" t="s">
        <v>292</v>
      </c>
      <c r="Z46" s="86" t="str">
        <f>HYPERLINK("https://twitter.com/naturaize/status/1446878389135106054")</f>
        <v>https://twitter.com/naturaize/status/1446878389135106054</v>
      </c>
      <c r="AA46" s="83"/>
      <c r="AB46" s="83"/>
      <c r="AC46" s="87" t="s">
        <v>302</v>
      </c>
      <c r="AD46" s="87" t="s">
        <v>309</v>
      </c>
      <c r="AE46" s="83" t="b">
        <v>0</v>
      </c>
      <c r="AF46" s="83">
        <v>6</v>
      </c>
      <c r="AG46" s="87" t="s">
        <v>314</v>
      </c>
      <c r="AH46" s="83" t="b">
        <v>0</v>
      </c>
      <c r="AI46" s="83" t="s">
        <v>318</v>
      </c>
      <c r="AJ46" s="83"/>
      <c r="AK46" s="87" t="s">
        <v>312</v>
      </c>
      <c r="AL46" s="83" t="b">
        <v>0</v>
      </c>
      <c r="AM46" s="83">
        <v>1</v>
      </c>
      <c r="AN46" s="87" t="s">
        <v>312</v>
      </c>
      <c r="AO46" s="87" t="s">
        <v>324</v>
      </c>
      <c r="AP46" s="83" t="b">
        <v>0</v>
      </c>
      <c r="AQ46" s="87" t="s">
        <v>309</v>
      </c>
      <c r="AR46" s="83" t="s">
        <v>196</v>
      </c>
      <c r="AS46" s="83">
        <v>0</v>
      </c>
      <c r="AT46" s="83">
        <v>0</v>
      </c>
      <c r="AU46" s="83"/>
      <c r="AV46" s="83"/>
      <c r="AW46" s="83"/>
      <c r="AX46" s="83"/>
      <c r="AY46" s="83"/>
      <c r="AZ46" s="83"/>
      <c r="BA46" s="83"/>
      <c r="BB46" s="83"/>
      <c r="BC46">
        <v>1</v>
      </c>
      <c r="BD46" s="82" t="str">
        <f>REPLACE(INDEX(GroupVertices[Group],MATCH(Edges[[#This Row],[Vertex 1]],GroupVertices[Vertex],0)),1,1,"")</f>
        <v>1</v>
      </c>
      <c r="BE46" s="82" t="str">
        <f>REPLACE(INDEX(GroupVertices[Group],MATCH(Edges[[#This Row],[Vertex 2]],GroupVertices[Vertex],0)),1,1,"")</f>
        <v>1</v>
      </c>
      <c r="BF46" s="51"/>
      <c r="BG46" s="52"/>
      <c r="BH46" s="51"/>
      <c r="BI46" s="52"/>
      <c r="BJ46" s="51"/>
      <c r="BK46" s="52"/>
      <c r="BL46" s="51"/>
      <c r="BM46" s="52"/>
      <c r="BN46" s="51"/>
    </row>
    <row r="47" spans="1:66" ht="15">
      <c r="A47" s="81" t="s">
        <v>238</v>
      </c>
      <c r="B47" s="81" t="s">
        <v>263</v>
      </c>
      <c r="C47" s="53" t="s">
        <v>785</v>
      </c>
      <c r="D47" s="54">
        <v>3</v>
      </c>
      <c r="E47" s="53" t="s">
        <v>132</v>
      </c>
      <c r="F47" s="55">
        <v>32</v>
      </c>
      <c r="G47" s="53"/>
      <c r="H47" s="57"/>
      <c r="I47" s="56"/>
      <c r="J47" s="56"/>
      <c r="K47" s="36" t="s">
        <v>65</v>
      </c>
      <c r="L47" s="62">
        <v>47</v>
      </c>
      <c r="M47" s="62"/>
      <c r="N47" s="63"/>
      <c r="O47" s="83" t="s">
        <v>274</v>
      </c>
      <c r="P47" s="85">
        <v>44478.70872685185</v>
      </c>
      <c r="Q47" s="83" t="s">
        <v>280</v>
      </c>
      <c r="R47" s="83"/>
      <c r="S47" s="83"/>
      <c r="T47" s="83"/>
      <c r="U47" s="86" t="str">
        <f>HYPERLINK("https://pbs.twimg.com/media/FBRYOanX0AQOhR2.jpg")</f>
        <v>https://pbs.twimg.com/media/FBRYOanX0AQOhR2.jpg</v>
      </c>
      <c r="V47" s="86" t="str">
        <f>HYPERLINK("https://pbs.twimg.com/media/FBRYOanX0AQOhR2.jpg")</f>
        <v>https://pbs.twimg.com/media/FBRYOanX0AQOhR2.jpg</v>
      </c>
      <c r="W47" s="85">
        <v>44478.70872685185</v>
      </c>
      <c r="X47" s="90">
        <v>44478</v>
      </c>
      <c r="Y47" s="87" t="s">
        <v>293</v>
      </c>
      <c r="Z47" s="86" t="str">
        <f>HYPERLINK("https://twitter.com/raaga31280/status/1446883298274250754")</f>
        <v>https://twitter.com/raaga31280/status/1446883298274250754</v>
      </c>
      <c r="AA47" s="83"/>
      <c r="AB47" s="83"/>
      <c r="AC47" s="87" t="s">
        <v>303</v>
      </c>
      <c r="AD47" s="83"/>
      <c r="AE47" s="83" t="b">
        <v>0</v>
      </c>
      <c r="AF47" s="83">
        <v>0</v>
      </c>
      <c r="AG47" s="87" t="s">
        <v>312</v>
      </c>
      <c r="AH47" s="83" t="b">
        <v>0</v>
      </c>
      <c r="AI47" s="83" t="s">
        <v>318</v>
      </c>
      <c r="AJ47" s="83"/>
      <c r="AK47" s="87" t="s">
        <v>312</v>
      </c>
      <c r="AL47" s="83" t="b">
        <v>0</v>
      </c>
      <c r="AM47" s="83">
        <v>1</v>
      </c>
      <c r="AN47" s="87" t="s">
        <v>302</v>
      </c>
      <c r="AO47" s="87" t="s">
        <v>323</v>
      </c>
      <c r="AP47" s="83" t="b">
        <v>0</v>
      </c>
      <c r="AQ47" s="87" t="s">
        <v>302</v>
      </c>
      <c r="AR47" s="83" t="s">
        <v>196</v>
      </c>
      <c r="AS47" s="83">
        <v>0</v>
      </c>
      <c r="AT47" s="83">
        <v>0</v>
      </c>
      <c r="AU47" s="83"/>
      <c r="AV47" s="83"/>
      <c r="AW47" s="83"/>
      <c r="AX47" s="83"/>
      <c r="AY47" s="83"/>
      <c r="AZ47" s="83"/>
      <c r="BA47" s="83"/>
      <c r="BB47" s="83"/>
      <c r="BC47">
        <v>1</v>
      </c>
      <c r="BD47" s="82" t="str">
        <f>REPLACE(INDEX(GroupVertices[Group],MATCH(Edges[[#This Row],[Vertex 1]],GroupVertices[Vertex],0)),1,1,"")</f>
        <v>1</v>
      </c>
      <c r="BE47" s="82" t="str">
        <f>REPLACE(INDEX(GroupVertices[Group],MATCH(Edges[[#This Row],[Vertex 2]],GroupVertices[Vertex],0)),1,1,"")</f>
        <v>1</v>
      </c>
      <c r="BF47" s="51"/>
      <c r="BG47" s="52"/>
      <c r="BH47" s="51"/>
      <c r="BI47" s="52"/>
      <c r="BJ47" s="51"/>
      <c r="BK47" s="52"/>
      <c r="BL47" s="51"/>
      <c r="BM47" s="52"/>
      <c r="BN47" s="51"/>
    </row>
    <row r="48" spans="1:66" ht="15">
      <c r="A48" s="81" t="s">
        <v>237</v>
      </c>
      <c r="B48" s="81" t="s">
        <v>264</v>
      </c>
      <c r="C48" s="53" t="s">
        <v>785</v>
      </c>
      <c r="D48" s="54">
        <v>3</v>
      </c>
      <c r="E48" s="53" t="s">
        <v>132</v>
      </c>
      <c r="F48" s="55">
        <v>32</v>
      </c>
      <c r="G48" s="53"/>
      <c r="H48" s="57"/>
      <c r="I48" s="56"/>
      <c r="J48" s="56"/>
      <c r="K48" s="36" t="s">
        <v>65</v>
      </c>
      <c r="L48" s="62">
        <v>48</v>
      </c>
      <c r="M48" s="62"/>
      <c r="N48" s="63"/>
      <c r="O48" s="83" t="s">
        <v>273</v>
      </c>
      <c r="P48" s="85">
        <v>44478.695185185185</v>
      </c>
      <c r="Q48" s="83" t="s">
        <v>280</v>
      </c>
      <c r="R48" s="83"/>
      <c r="S48" s="83"/>
      <c r="T48" s="83"/>
      <c r="U48" s="86" t="str">
        <f>HYPERLINK("https://pbs.twimg.com/media/FBRYOanX0AQOhR2.jpg")</f>
        <v>https://pbs.twimg.com/media/FBRYOanX0AQOhR2.jpg</v>
      </c>
      <c r="V48" s="86" t="str">
        <f>HYPERLINK("https://pbs.twimg.com/media/FBRYOanX0AQOhR2.jpg")</f>
        <v>https://pbs.twimg.com/media/FBRYOanX0AQOhR2.jpg</v>
      </c>
      <c r="W48" s="85">
        <v>44478.695185185185</v>
      </c>
      <c r="X48" s="90">
        <v>44478</v>
      </c>
      <c r="Y48" s="87" t="s">
        <v>292</v>
      </c>
      <c r="Z48" s="86" t="str">
        <f>HYPERLINK("https://twitter.com/naturaize/status/1446878389135106054")</f>
        <v>https://twitter.com/naturaize/status/1446878389135106054</v>
      </c>
      <c r="AA48" s="83"/>
      <c r="AB48" s="83"/>
      <c r="AC48" s="87" t="s">
        <v>302</v>
      </c>
      <c r="AD48" s="87" t="s">
        <v>309</v>
      </c>
      <c r="AE48" s="83" t="b">
        <v>0</v>
      </c>
      <c r="AF48" s="83">
        <v>6</v>
      </c>
      <c r="AG48" s="87" t="s">
        <v>314</v>
      </c>
      <c r="AH48" s="83" t="b">
        <v>0</v>
      </c>
      <c r="AI48" s="83" t="s">
        <v>318</v>
      </c>
      <c r="AJ48" s="83"/>
      <c r="AK48" s="87" t="s">
        <v>312</v>
      </c>
      <c r="AL48" s="83" t="b">
        <v>0</v>
      </c>
      <c r="AM48" s="83">
        <v>1</v>
      </c>
      <c r="AN48" s="87" t="s">
        <v>312</v>
      </c>
      <c r="AO48" s="87" t="s">
        <v>324</v>
      </c>
      <c r="AP48" s="83" t="b">
        <v>0</v>
      </c>
      <c r="AQ48" s="87" t="s">
        <v>309</v>
      </c>
      <c r="AR48" s="83" t="s">
        <v>196</v>
      </c>
      <c r="AS48" s="83">
        <v>0</v>
      </c>
      <c r="AT48" s="83">
        <v>0</v>
      </c>
      <c r="AU48" s="83"/>
      <c r="AV48" s="83"/>
      <c r="AW48" s="83"/>
      <c r="AX48" s="83"/>
      <c r="AY48" s="83"/>
      <c r="AZ48" s="83"/>
      <c r="BA48" s="83"/>
      <c r="BB48" s="83"/>
      <c r="BC48">
        <v>1</v>
      </c>
      <c r="BD48" s="82" t="str">
        <f>REPLACE(INDEX(GroupVertices[Group],MATCH(Edges[[#This Row],[Vertex 1]],GroupVertices[Vertex],0)),1,1,"")</f>
        <v>1</v>
      </c>
      <c r="BE48" s="82" t="str">
        <f>REPLACE(INDEX(GroupVertices[Group],MATCH(Edges[[#This Row],[Vertex 2]],GroupVertices[Vertex],0)),1,1,"")</f>
        <v>1</v>
      </c>
      <c r="BF48" s="51"/>
      <c r="BG48" s="52"/>
      <c r="BH48" s="51"/>
      <c r="BI48" s="52"/>
      <c r="BJ48" s="51"/>
      <c r="BK48" s="52"/>
      <c r="BL48" s="51"/>
      <c r="BM48" s="52"/>
      <c r="BN48" s="51"/>
    </row>
    <row r="49" spans="1:66" ht="15">
      <c r="A49" s="81" t="s">
        <v>238</v>
      </c>
      <c r="B49" s="81" t="s">
        <v>264</v>
      </c>
      <c r="C49" s="53" t="s">
        <v>785</v>
      </c>
      <c r="D49" s="54">
        <v>3</v>
      </c>
      <c r="E49" s="53" t="s">
        <v>132</v>
      </c>
      <c r="F49" s="55">
        <v>32</v>
      </c>
      <c r="G49" s="53"/>
      <c r="H49" s="57"/>
      <c r="I49" s="56"/>
      <c r="J49" s="56"/>
      <c r="K49" s="36" t="s">
        <v>65</v>
      </c>
      <c r="L49" s="62">
        <v>49</v>
      </c>
      <c r="M49" s="62"/>
      <c r="N49" s="63"/>
      <c r="O49" s="83" t="s">
        <v>274</v>
      </c>
      <c r="P49" s="85">
        <v>44478.70872685185</v>
      </c>
      <c r="Q49" s="83" t="s">
        <v>280</v>
      </c>
      <c r="R49" s="83"/>
      <c r="S49" s="83"/>
      <c r="T49" s="83"/>
      <c r="U49" s="86" t="str">
        <f>HYPERLINK("https://pbs.twimg.com/media/FBRYOanX0AQOhR2.jpg")</f>
        <v>https://pbs.twimg.com/media/FBRYOanX0AQOhR2.jpg</v>
      </c>
      <c r="V49" s="86" t="str">
        <f>HYPERLINK("https://pbs.twimg.com/media/FBRYOanX0AQOhR2.jpg")</f>
        <v>https://pbs.twimg.com/media/FBRYOanX0AQOhR2.jpg</v>
      </c>
      <c r="W49" s="85">
        <v>44478.70872685185</v>
      </c>
      <c r="X49" s="90">
        <v>44478</v>
      </c>
      <c r="Y49" s="87" t="s">
        <v>293</v>
      </c>
      <c r="Z49" s="86" t="str">
        <f>HYPERLINK("https://twitter.com/raaga31280/status/1446883298274250754")</f>
        <v>https://twitter.com/raaga31280/status/1446883298274250754</v>
      </c>
      <c r="AA49" s="83"/>
      <c r="AB49" s="83"/>
      <c r="AC49" s="87" t="s">
        <v>303</v>
      </c>
      <c r="AD49" s="83"/>
      <c r="AE49" s="83" t="b">
        <v>0</v>
      </c>
      <c r="AF49" s="83">
        <v>0</v>
      </c>
      <c r="AG49" s="87" t="s">
        <v>312</v>
      </c>
      <c r="AH49" s="83" t="b">
        <v>0</v>
      </c>
      <c r="AI49" s="83" t="s">
        <v>318</v>
      </c>
      <c r="AJ49" s="83"/>
      <c r="AK49" s="87" t="s">
        <v>312</v>
      </c>
      <c r="AL49" s="83" t="b">
        <v>0</v>
      </c>
      <c r="AM49" s="83">
        <v>1</v>
      </c>
      <c r="AN49" s="87" t="s">
        <v>302</v>
      </c>
      <c r="AO49" s="87" t="s">
        <v>323</v>
      </c>
      <c r="AP49" s="83" t="b">
        <v>0</v>
      </c>
      <c r="AQ49" s="87" t="s">
        <v>302</v>
      </c>
      <c r="AR49" s="83" t="s">
        <v>196</v>
      </c>
      <c r="AS49" s="83">
        <v>0</v>
      </c>
      <c r="AT49" s="83">
        <v>0</v>
      </c>
      <c r="AU49" s="83"/>
      <c r="AV49" s="83"/>
      <c r="AW49" s="83"/>
      <c r="AX49" s="83"/>
      <c r="AY49" s="83"/>
      <c r="AZ49" s="83"/>
      <c r="BA49" s="83"/>
      <c r="BB49" s="83"/>
      <c r="BC49">
        <v>1</v>
      </c>
      <c r="BD49" s="82" t="str">
        <f>REPLACE(INDEX(GroupVertices[Group],MATCH(Edges[[#This Row],[Vertex 1]],GroupVertices[Vertex],0)),1,1,"")</f>
        <v>1</v>
      </c>
      <c r="BE49" s="82" t="str">
        <f>REPLACE(INDEX(GroupVertices[Group],MATCH(Edges[[#This Row],[Vertex 2]],GroupVertices[Vertex],0)),1,1,"")</f>
        <v>1</v>
      </c>
      <c r="BF49" s="51"/>
      <c r="BG49" s="52"/>
      <c r="BH49" s="51"/>
      <c r="BI49" s="52"/>
      <c r="BJ49" s="51"/>
      <c r="BK49" s="52"/>
      <c r="BL49" s="51"/>
      <c r="BM49" s="52"/>
      <c r="BN49" s="51"/>
    </row>
    <row r="50" spans="1:66" ht="15">
      <c r="A50" s="81" t="s">
        <v>237</v>
      </c>
      <c r="B50" s="81" t="s">
        <v>265</v>
      </c>
      <c r="C50" s="53" t="s">
        <v>785</v>
      </c>
      <c r="D50" s="54">
        <v>3</v>
      </c>
      <c r="E50" s="53" t="s">
        <v>132</v>
      </c>
      <c r="F50" s="55">
        <v>32</v>
      </c>
      <c r="G50" s="53"/>
      <c r="H50" s="57"/>
      <c r="I50" s="56"/>
      <c r="J50" s="56"/>
      <c r="K50" s="36" t="s">
        <v>65</v>
      </c>
      <c r="L50" s="62">
        <v>50</v>
      </c>
      <c r="M50" s="62"/>
      <c r="N50" s="63"/>
      <c r="O50" s="83" t="s">
        <v>273</v>
      </c>
      <c r="P50" s="85">
        <v>44478.695185185185</v>
      </c>
      <c r="Q50" s="83" t="s">
        <v>280</v>
      </c>
      <c r="R50" s="83"/>
      <c r="S50" s="83"/>
      <c r="T50" s="83"/>
      <c r="U50" s="86" t="str">
        <f>HYPERLINK("https://pbs.twimg.com/media/FBRYOanX0AQOhR2.jpg")</f>
        <v>https://pbs.twimg.com/media/FBRYOanX0AQOhR2.jpg</v>
      </c>
      <c r="V50" s="86" t="str">
        <f>HYPERLINK("https://pbs.twimg.com/media/FBRYOanX0AQOhR2.jpg")</f>
        <v>https://pbs.twimg.com/media/FBRYOanX0AQOhR2.jpg</v>
      </c>
      <c r="W50" s="85">
        <v>44478.695185185185</v>
      </c>
      <c r="X50" s="90">
        <v>44478</v>
      </c>
      <c r="Y50" s="87" t="s">
        <v>292</v>
      </c>
      <c r="Z50" s="86" t="str">
        <f>HYPERLINK("https://twitter.com/naturaize/status/1446878389135106054")</f>
        <v>https://twitter.com/naturaize/status/1446878389135106054</v>
      </c>
      <c r="AA50" s="83"/>
      <c r="AB50" s="83"/>
      <c r="AC50" s="87" t="s">
        <v>302</v>
      </c>
      <c r="AD50" s="87" t="s">
        <v>309</v>
      </c>
      <c r="AE50" s="83" t="b">
        <v>0</v>
      </c>
      <c r="AF50" s="83">
        <v>6</v>
      </c>
      <c r="AG50" s="87" t="s">
        <v>314</v>
      </c>
      <c r="AH50" s="83" t="b">
        <v>0</v>
      </c>
      <c r="AI50" s="83" t="s">
        <v>318</v>
      </c>
      <c r="AJ50" s="83"/>
      <c r="AK50" s="87" t="s">
        <v>312</v>
      </c>
      <c r="AL50" s="83" t="b">
        <v>0</v>
      </c>
      <c r="AM50" s="83">
        <v>1</v>
      </c>
      <c r="AN50" s="87" t="s">
        <v>312</v>
      </c>
      <c r="AO50" s="87" t="s">
        <v>324</v>
      </c>
      <c r="AP50" s="83" t="b">
        <v>0</v>
      </c>
      <c r="AQ50" s="87" t="s">
        <v>309</v>
      </c>
      <c r="AR50" s="83" t="s">
        <v>196</v>
      </c>
      <c r="AS50" s="83">
        <v>0</v>
      </c>
      <c r="AT50" s="83">
        <v>0</v>
      </c>
      <c r="AU50" s="83"/>
      <c r="AV50" s="83"/>
      <c r="AW50" s="83"/>
      <c r="AX50" s="83"/>
      <c r="AY50" s="83"/>
      <c r="AZ50" s="83"/>
      <c r="BA50" s="83"/>
      <c r="BB50" s="83"/>
      <c r="BC50">
        <v>1</v>
      </c>
      <c r="BD50" s="82" t="str">
        <f>REPLACE(INDEX(GroupVertices[Group],MATCH(Edges[[#This Row],[Vertex 1]],GroupVertices[Vertex],0)),1,1,"")</f>
        <v>1</v>
      </c>
      <c r="BE50" s="82" t="str">
        <f>REPLACE(INDEX(GroupVertices[Group],MATCH(Edges[[#This Row],[Vertex 2]],GroupVertices[Vertex],0)),1,1,"")</f>
        <v>1</v>
      </c>
      <c r="BF50" s="51"/>
      <c r="BG50" s="52"/>
      <c r="BH50" s="51"/>
      <c r="BI50" s="52"/>
      <c r="BJ50" s="51"/>
      <c r="BK50" s="52"/>
      <c r="BL50" s="51"/>
      <c r="BM50" s="52"/>
      <c r="BN50" s="51"/>
    </row>
    <row r="51" spans="1:66" ht="15">
      <c r="A51" s="81" t="s">
        <v>238</v>
      </c>
      <c r="B51" s="81" t="s">
        <v>265</v>
      </c>
      <c r="C51" s="53" t="s">
        <v>785</v>
      </c>
      <c r="D51" s="54">
        <v>3</v>
      </c>
      <c r="E51" s="53" t="s">
        <v>132</v>
      </c>
      <c r="F51" s="55">
        <v>32</v>
      </c>
      <c r="G51" s="53"/>
      <c r="H51" s="57"/>
      <c r="I51" s="56"/>
      <c r="J51" s="56"/>
      <c r="K51" s="36" t="s">
        <v>65</v>
      </c>
      <c r="L51" s="62">
        <v>51</v>
      </c>
      <c r="M51" s="62"/>
      <c r="N51" s="63"/>
      <c r="O51" s="83" t="s">
        <v>274</v>
      </c>
      <c r="P51" s="85">
        <v>44478.70872685185</v>
      </c>
      <c r="Q51" s="83" t="s">
        <v>280</v>
      </c>
      <c r="R51" s="83"/>
      <c r="S51" s="83"/>
      <c r="T51" s="83"/>
      <c r="U51" s="86" t="str">
        <f>HYPERLINK("https://pbs.twimg.com/media/FBRYOanX0AQOhR2.jpg")</f>
        <v>https://pbs.twimg.com/media/FBRYOanX0AQOhR2.jpg</v>
      </c>
      <c r="V51" s="86" t="str">
        <f>HYPERLINK("https://pbs.twimg.com/media/FBRYOanX0AQOhR2.jpg")</f>
        <v>https://pbs.twimg.com/media/FBRYOanX0AQOhR2.jpg</v>
      </c>
      <c r="W51" s="85">
        <v>44478.70872685185</v>
      </c>
      <c r="X51" s="90">
        <v>44478</v>
      </c>
      <c r="Y51" s="87" t="s">
        <v>293</v>
      </c>
      <c r="Z51" s="86" t="str">
        <f>HYPERLINK("https://twitter.com/raaga31280/status/1446883298274250754")</f>
        <v>https://twitter.com/raaga31280/status/1446883298274250754</v>
      </c>
      <c r="AA51" s="83"/>
      <c r="AB51" s="83"/>
      <c r="AC51" s="87" t="s">
        <v>303</v>
      </c>
      <c r="AD51" s="83"/>
      <c r="AE51" s="83" t="b">
        <v>0</v>
      </c>
      <c r="AF51" s="83">
        <v>0</v>
      </c>
      <c r="AG51" s="87" t="s">
        <v>312</v>
      </c>
      <c r="AH51" s="83" t="b">
        <v>0</v>
      </c>
      <c r="AI51" s="83" t="s">
        <v>318</v>
      </c>
      <c r="AJ51" s="83"/>
      <c r="AK51" s="87" t="s">
        <v>312</v>
      </c>
      <c r="AL51" s="83" t="b">
        <v>0</v>
      </c>
      <c r="AM51" s="83">
        <v>1</v>
      </c>
      <c r="AN51" s="87" t="s">
        <v>302</v>
      </c>
      <c r="AO51" s="87" t="s">
        <v>323</v>
      </c>
      <c r="AP51" s="83" t="b">
        <v>0</v>
      </c>
      <c r="AQ51" s="87" t="s">
        <v>302</v>
      </c>
      <c r="AR51" s="83" t="s">
        <v>196</v>
      </c>
      <c r="AS51" s="83">
        <v>0</v>
      </c>
      <c r="AT51" s="83">
        <v>0</v>
      </c>
      <c r="AU51" s="83"/>
      <c r="AV51" s="83"/>
      <c r="AW51" s="83"/>
      <c r="AX51" s="83"/>
      <c r="AY51" s="83"/>
      <c r="AZ51" s="83"/>
      <c r="BA51" s="83"/>
      <c r="BB51" s="83"/>
      <c r="BC51">
        <v>1</v>
      </c>
      <c r="BD51" s="82" t="str">
        <f>REPLACE(INDEX(GroupVertices[Group],MATCH(Edges[[#This Row],[Vertex 1]],GroupVertices[Vertex],0)),1,1,"")</f>
        <v>1</v>
      </c>
      <c r="BE51" s="82" t="str">
        <f>REPLACE(INDEX(GroupVertices[Group],MATCH(Edges[[#This Row],[Vertex 2]],GroupVertices[Vertex],0)),1,1,"")</f>
        <v>1</v>
      </c>
      <c r="BF51" s="51"/>
      <c r="BG51" s="52"/>
      <c r="BH51" s="51"/>
      <c r="BI51" s="52"/>
      <c r="BJ51" s="51"/>
      <c r="BK51" s="52"/>
      <c r="BL51" s="51"/>
      <c r="BM51" s="52"/>
      <c r="BN51" s="51"/>
    </row>
    <row r="52" spans="1:66" ht="15">
      <c r="A52" s="81" t="s">
        <v>237</v>
      </c>
      <c r="B52" s="81" t="s">
        <v>266</v>
      </c>
      <c r="C52" s="53" t="s">
        <v>785</v>
      </c>
      <c r="D52" s="54">
        <v>3</v>
      </c>
      <c r="E52" s="53" t="s">
        <v>132</v>
      </c>
      <c r="F52" s="55">
        <v>32</v>
      </c>
      <c r="G52" s="53"/>
      <c r="H52" s="57"/>
      <c r="I52" s="56"/>
      <c r="J52" s="56"/>
      <c r="K52" s="36" t="s">
        <v>65</v>
      </c>
      <c r="L52" s="62">
        <v>52</v>
      </c>
      <c r="M52" s="62"/>
      <c r="N52" s="63"/>
      <c r="O52" s="83" t="s">
        <v>273</v>
      </c>
      <c r="P52" s="85">
        <v>44478.695185185185</v>
      </c>
      <c r="Q52" s="83" t="s">
        <v>280</v>
      </c>
      <c r="R52" s="83"/>
      <c r="S52" s="83"/>
      <c r="T52" s="83"/>
      <c r="U52" s="86" t="str">
        <f>HYPERLINK("https://pbs.twimg.com/media/FBRYOanX0AQOhR2.jpg")</f>
        <v>https://pbs.twimg.com/media/FBRYOanX0AQOhR2.jpg</v>
      </c>
      <c r="V52" s="86" t="str">
        <f>HYPERLINK("https://pbs.twimg.com/media/FBRYOanX0AQOhR2.jpg")</f>
        <v>https://pbs.twimg.com/media/FBRYOanX0AQOhR2.jpg</v>
      </c>
      <c r="W52" s="85">
        <v>44478.695185185185</v>
      </c>
      <c r="X52" s="90">
        <v>44478</v>
      </c>
      <c r="Y52" s="87" t="s">
        <v>292</v>
      </c>
      <c r="Z52" s="86" t="str">
        <f>HYPERLINK("https://twitter.com/naturaize/status/1446878389135106054")</f>
        <v>https://twitter.com/naturaize/status/1446878389135106054</v>
      </c>
      <c r="AA52" s="83"/>
      <c r="AB52" s="83"/>
      <c r="AC52" s="87" t="s">
        <v>302</v>
      </c>
      <c r="AD52" s="87" t="s">
        <v>309</v>
      </c>
      <c r="AE52" s="83" t="b">
        <v>0</v>
      </c>
      <c r="AF52" s="83">
        <v>6</v>
      </c>
      <c r="AG52" s="87" t="s">
        <v>314</v>
      </c>
      <c r="AH52" s="83" t="b">
        <v>0</v>
      </c>
      <c r="AI52" s="83" t="s">
        <v>318</v>
      </c>
      <c r="AJ52" s="83"/>
      <c r="AK52" s="87" t="s">
        <v>312</v>
      </c>
      <c r="AL52" s="83" t="b">
        <v>0</v>
      </c>
      <c r="AM52" s="83">
        <v>1</v>
      </c>
      <c r="AN52" s="87" t="s">
        <v>312</v>
      </c>
      <c r="AO52" s="87" t="s">
        <v>324</v>
      </c>
      <c r="AP52" s="83" t="b">
        <v>0</v>
      </c>
      <c r="AQ52" s="87" t="s">
        <v>309</v>
      </c>
      <c r="AR52" s="83" t="s">
        <v>196</v>
      </c>
      <c r="AS52" s="83">
        <v>0</v>
      </c>
      <c r="AT52" s="83">
        <v>0</v>
      </c>
      <c r="AU52" s="83"/>
      <c r="AV52" s="83"/>
      <c r="AW52" s="83"/>
      <c r="AX52" s="83"/>
      <c r="AY52" s="83"/>
      <c r="AZ52" s="83"/>
      <c r="BA52" s="83"/>
      <c r="BB52" s="83"/>
      <c r="BC52">
        <v>1</v>
      </c>
      <c r="BD52" s="82" t="str">
        <f>REPLACE(INDEX(GroupVertices[Group],MATCH(Edges[[#This Row],[Vertex 1]],GroupVertices[Vertex],0)),1,1,"")</f>
        <v>1</v>
      </c>
      <c r="BE52" s="82" t="str">
        <f>REPLACE(INDEX(GroupVertices[Group],MATCH(Edges[[#This Row],[Vertex 2]],GroupVertices[Vertex],0)),1,1,"")</f>
        <v>1</v>
      </c>
      <c r="BF52" s="51"/>
      <c r="BG52" s="52"/>
      <c r="BH52" s="51"/>
      <c r="BI52" s="52"/>
      <c r="BJ52" s="51"/>
      <c r="BK52" s="52"/>
      <c r="BL52" s="51"/>
      <c r="BM52" s="52"/>
      <c r="BN52" s="51"/>
    </row>
    <row r="53" spans="1:66" ht="15">
      <c r="A53" s="81" t="s">
        <v>238</v>
      </c>
      <c r="B53" s="81" t="s">
        <v>266</v>
      </c>
      <c r="C53" s="53" t="s">
        <v>785</v>
      </c>
      <c r="D53" s="54">
        <v>3</v>
      </c>
      <c r="E53" s="53" t="s">
        <v>132</v>
      </c>
      <c r="F53" s="55">
        <v>32</v>
      </c>
      <c r="G53" s="53"/>
      <c r="H53" s="57"/>
      <c r="I53" s="56"/>
      <c r="J53" s="56"/>
      <c r="K53" s="36" t="s">
        <v>65</v>
      </c>
      <c r="L53" s="62">
        <v>53</v>
      </c>
      <c r="M53" s="62"/>
      <c r="N53" s="63"/>
      <c r="O53" s="83" t="s">
        <v>274</v>
      </c>
      <c r="P53" s="85">
        <v>44478.70872685185</v>
      </c>
      <c r="Q53" s="83" t="s">
        <v>280</v>
      </c>
      <c r="R53" s="83"/>
      <c r="S53" s="83"/>
      <c r="T53" s="83"/>
      <c r="U53" s="86" t="str">
        <f>HYPERLINK("https://pbs.twimg.com/media/FBRYOanX0AQOhR2.jpg")</f>
        <v>https://pbs.twimg.com/media/FBRYOanX0AQOhR2.jpg</v>
      </c>
      <c r="V53" s="86" t="str">
        <f>HYPERLINK("https://pbs.twimg.com/media/FBRYOanX0AQOhR2.jpg")</f>
        <v>https://pbs.twimg.com/media/FBRYOanX0AQOhR2.jpg</v>
      </c>
      <c r="W53" s="85">
        <v>44478.70872685185</v>
      </c>
      <c r="X53" s="90">
        <v>44478</v>
      </c>
      <c r="Y53" s="87" t="s">
        <v>293</v>
      </c>
      <c r="Z53" s="86" t="str">
        <f>HYPERLINK("https://twitter.com/raaga31280/status/1446883298274250754")</f>
        <v>https://twitter.com/raaga31280/status/1446883298274250754</v>
      </c>
      <c r="AA53" s="83"/>
      <c r="AB53" s="83"/>
      <c r="AC53" s="87" t="s">
        <v>303</v>
      </c>
      <c r="AD53" s="83"/>
      <c r="AE53" s="83" t="b">
        <v>0</v>
      </c>
      <c r="AF53" s="83">
        <v>0</v>
      </c>
      <c r="AG53" s="87" t="s">
        <v>312</v>
      </c>
      <c r="AH53" s="83" t="b">
        <v>0</v>
      </c>
      <c r="AI53" s="83" t="s">
        <v>318</v>
      </c>
      <c r="AJ53" s="83"/>
      <c r="AK53" s="87" t="s">
        <v>312</v>
      </c>
      <c r="AL53" s="83" t="b">
        <v>0</v>
      </c>
      <c r="AM53" s="83">
        <v>1</v>
      </c>
      <c r="AN53" s="87" t="s">
        <v>302</v>
      </c>
      <c r="AO53" s="87" t="s">
        <v>323</v>
      </c>
      <c r="AP53" s="83" t="b">
        <v>0</v>
      </c>
      <c r="AQ53" s="87" t="s">
        <v>302</v>
      </c>
      <c r="AR53" s="83" t="s">
        <v>196</v>
      </c>
      <c r="AS53" s="83">
        <v>0</v>
      </c>
      <c r="AT53" s="83">
        <v>0</v>
      </c>
      <c r="AU53" s="83"/>
      <c r="AV53" s="83"/>
      <c r="AW53" s="83"/>
      <c r="AX53" s="83"/>
      <c r="AY53" s="83"/>
      <c r="AZ53" s="83"/>
      <c r="BA53" s="83"/>
      <c r="BB53" s="83"/>
      <c r="BC53">
        <v>1</v>
      </c>
      <c r="BD53" s="82" t="str">
        <f>REPLACE(INDEX(GroupVertices[Group],MATCH(Edges[[#This Row],[Vertex 1]],GroupVertices[Vertex],0)),1,1,"")</f>
        <v>1</v>
      </c>
      <c r="BE53" s="82" t="str">
        <f>REPLACE(INDEX(GroupVertices[Group],MATCH(Edges[[#This Row],[Vertex 2]],GroupVertices[Vertex],0)),1,1,"")</f>
        <v>1</v>
      </c>
      <c r="BF53" s="51"/>
      <c r="BG53" s="52"/>
      <c r="BH53" s="51"/>
      <c r="BI53" s="52"/>
      <c r="BJ53" s="51"/>
      <c r="BK53" s="52"/>
      <c r="BL53" s="51"/>
      <c r="BM53" s="52"/>
      <c r="BN53" s="51"/>
    </row>
    <row r="54" spans="1:66" ht="15">
      <c r="A54" s="81" t="s">
        <v>237</v>
      </c>
      <c r="B54" s="81" t="s">
        <v>267</v>
      </c>
      <c r="C54" s="53" t="s">
        <v>785</v>
      </c>
      <c r="D54" s="54">
        <v>3</v>
      </c>
      <c r="E54" s="53" t="s">
        <v>132</v>
      </c>
      <c r="F54" s="55">
        <v>32</v>
      </c>
      <c r="G54" s="53"/>
      <c r="H54" s="57"/>
      <c r="I54" s="56"/>
      <c r="J54" s="56"/>
      <c r="K54" s="36" t="s">
        <v>65</v>
      </c>
      <c r="L54" s="62">
        <v>54</v>
      </c>
      <c r="M54" s="62"/>
      <c r="N54" s="63"/>
      <c r="O54" s="83" t="s">
        <v>273</v>
      </c>
      <c r="P54" s="85">
        <v>44478.695185185185</v>
      </c>
      <c r="Q54" s="83" t="s">
        <v>280</v>
      </c>
      <c r="R54" s="83"/>
      <c r="S54" s="83"/>
      <c r="T54" s="83"/>
      <c r="U54" s="86" t="str">
        <f>HYPERLINK("https://pbs.twimg.com/media/FBRYOanX0AQOhR2.jpg")</f>
        <v>https://pbs.twimg.com/media/FBRYOanX0AQOhR2.jpg</v>
      </c>
      <c r="V54" s="86" t="str">
        <f>HYPERLINK("https://pbs.twimg.com/media/FBRYOanX0AQOhR2.jpg")</f>
        <v>https://pbs.twimg.com/media/FBRYOanX0AQOhR2.jpg</v>
      </c>
      <c r="W54" s="85">
        <v>44478.695185185185</v>
      </c>
      <c r="X54" s="90">
        <v>44478</v>
      </c>
      <c r="Y54" s="87" t="s">
        <v>292</v>
      </c>
      <c r="Z54" s="86" t="str">
        <f>HYPERLINK("https://twitter.com/naturaize/status/1446878389135106054")</f>
        <v>https://twitter.com/naturaize/status/1446878389135106054</v>
      </c>
      <c r="AA54" s="83"/>
      <c r="AB54" s="83"/>
      <c r="AC54" s="87" t="s">
        <v>302</v>
      </c>
      <c r="AD54" s="87" t="s">
        <v>309</v>
      </c>
      <c r="AE54" s="83" t="b">
        <v>0</v>
      </c>
      <c r="AF54" s="83">
        <v>6</v>
      </c>
      <c r="AG54" s="87" t="s">
        <v>314</v>
      </c>
      <c r="AH54" s="83" t="b">
        <v>0</v>
      </c>
      <c r="AI54" s="83" t="s">
        <v>318</v>
      </c>
      <c r="AJ54" s="83"/>
      <c r="AK54" s="87" t="s">
        <v>312</v>
      </c>
      <c r="AL54" s="83" t="b">
        <v>0</v>
      </c>
      <c r="AM54" s="83">
        <v>1</v>
      </c>
      <c r="AN54" s="87" t="s">
        <v>312</v>
      </c>
      <c r="AO54" s="87" t="s">
        <v>324</v>
      </c>
      <c r="AP54" s="83" t="b">
        <v>0</v>
      </c>
      <c r="AQ54" s="87" t="s">
        <v>309</v>
      </c>
      <c r="AR54" s="83" t="s">
        <v>196</v>
      </c>
      <c r="AS54" s="83">
        <v>0</v>
      </c>
      <c r="AT54" s="83">
        <v>0</v>
      </c>
      <c r="AU54" s="83"/>
      <c r="AV54" s="83"/>
      <c r="AW54" s="83"/>
      <c r="AX54" s="83"/>
      <c r="AY54" s="83"/>
      <c r="AZ54" s="83"/>
      <c r="BA54" s="83"/>
      <c r="BB54" s="83"/>
      <c r="BC54">
        <v>1</v>
      </c>
      <c r="BD54" s="82" t="str">
        <f>REPLACE(INDEX(GroupVertices[Group],MATCH(Edges[[#This Row],[Vertex 1]],GroupVertices[Vertex],0)),1,1,"")</f>
        <v>1</v>
      </c>
      <c r="BE54" s="82" t="str">
        <f>REPLACE(INDEX(GroupVertices[Group],MATCH(Edges[[#This Row],[Vertex 2]],GroupVertices[Vertex],0)),1,1,"")</f>
        <v>1</v>
      </c>
      <c r="BF54" s="51"/>
      <c r="BG54" s="52"/>
      <c r="BH54" s="51"/>
      <c r="BI54" s="52"/>
      <c r="BJ54" s="51"/>
      <c r="BK54" s="52"/>
      <c r="BL54" s="51"/>
      <c r="BM54" s="52"/>
      <c r="BN54" s="51"/>
    </row>
    <row r="55" spans="1:66" ht="15">
      <c r="A55" s="81" t="s">
        <v>238</v>
      </c>
      <c r="B55" s="81" t="s">
        <v>267</v>
      </c>
      <c r="C55" s="53" t="s">
        <v>785</v>
      </c>
      <c r="D55" s="54">
        <v>3</v>
      </c>
      <c r="E55" s="53" t="s">
        <v>132</v>
      </c>
      <c r="F55" s="55">
        <v>32</v>
      </c>
      <c r="G55" s="53"/>
      <c r="H55" s="57"/>
      <c r="I55" s="56"/>
      <c r="J55" s="56"/>
      <c r="K55" s="36" t="s">
        <v>65</v>
      </c>
      <c r="L55" s="62">
        <v>55</v>
      </c>
      <c r="M55" s="62"/>
      <c r="N55" s="63"/>
      <c r="O55" s="83" t="s">
        <v>274</v>
      </c>
      <c r="P55" s="85">
        <v>44478.70872685185</v>
      </c>
      <c r="Q55" s="83" t="s">
        <v>280</v>
      </c>
      <c r="R55" s="83"/>
      <c r="S55" s="83"/>
      <c r="T55" s="83"/>
      <c r="U55" s="86" t="str">
        <f>HYPERLINK("https://pbs.twimg.com/media/FBRYOanX0AQOhR2.jpg")</f>
        <v>https://pbs.twimg.com/media/FBRYOanX0AQOhR2.jpg</v>
      </c>
      <c r="V55" s="86" t="str">
        <f>HYPERLINK("https://pbs.twimg.com/media/FBRYOanX0AQOhR2.jpg")</f>
        <v>https://pbs.twimg.com/media/FBRYOanX0AQOhR2.jpg</v>
      </c>
      <c r="W55" s="85">
        <v>44478.70872685185</v>
      </c>
      <c r="X55" s="90">
        <v>44478</v>
      </c>
      <c r="Y55" s="87" t="s">
        <v>293</v>
      </c>
      <c r="Z55" s="86" t="str">
        <f>HYPERLINK("https://twitter.com/raaga31280/status/1446883298274250754")</f>
        <v>https://twitter.com/raaga31280/status/1446883298274250754</v>
      </c>
      <c r="AA55" s="83"/>
      <c r="AB55" s="83"/>
      <c r="AC55" s="87" t="s">
        <v>303</v>
      </c>
      <c r="AD55" s="83"/>
      <c r="AE55" s="83" t="b">
        <v>0</v>
      </c>
      <c r="AF55" s="83">
        <v>0</v>
      </c>
      <c r="AG55" s="87" t="s">
        <v>312</v>
      </c>
      <c r="AH55" s="83" t="b">
        <v>0</v>
      </c>
      <c r="AI55" s="83" t="s">
        <v>318</v>
      </c>
      <c r="AJ55" s="83"/>
      <c r="AK55" s="87" t="s">
        <v>312</v>
      </c>
      <c r="AL55" s="83" t="b">
        <v>0</v>
      </c>
      <c r="AM55" s="83">
        <v>1</v>
      </c>
      <c r="AN55" s="87" t="s">
        <v>302</v>
      </c>
      <c r="AO55" s="87" t="s">
        <v>323</v>
      </c>
      <c r="AP55" s="83" t="b">
        <v>0</v>
      </c>
      <c r="AQ55" s="87" t="s">
        <v>302</v>
      </c>
      <c r="AR55" s="83" t="s">
        <v>196</v>
      </c>
      <c r="AS55" s="83">
        <v>0</v>
      </c>
      <c r="AT55" s="83">
        <v>0</v>
      </c>
      <c r="AU55" s="83"/>
      <c r="AV55" s="83"/>
      <c r="AW55" s="83"/>
      <c r="AX55" s="83"/>
      <c r="AY55" s="83"/>
      <c r="AZ55" s="83"/>
      <c r="BA55" s="83"/>
      <c r="BB55" s="83"/>
      <c r="BC55">
        <v>1</v>
      </c>
      <c r="BD55" s="82" t="str">
        <f>REPLACE(INDEX(GroupVertices[Group],MATCH(Edges[[#This Row],[Vertex 1]],GroupVertices[Vertex],0)),1,1,"")</f>
        <v>1</v>
      </c>
      <c r="BE55" s="82" t="str">
        <f>REPLACE(INDEX(GroupVertices[Group],MATCH(Edges[[#This Row],[Vertex 2]],GroupVertices[Vertex],0)),1,1,"")</f>
        <v>1</v>
      </c>
      <c r="BF55" s="51"/>
      <c r="BG55" s="52"/>
      <c r="BH55" s="51"/>
      <c r="BI55" s="52"/>
      <c r="BJ55" s="51"/>
      <c r="BK55" s="52"/>
      <c r="BL55" s="51"/>
      <c r="BM55" s="52"/>
      <c r="BN55" s="51"/>
    </row>
    <row r="56" spans="1:66" ht="15">
      <c r="A56" s="81" t="s">
        <v>237</v>
      </c>
      <c r="B56" s="81" t="s">
        <v>238</v>
      </c>
      <c r="C56" s="53" t="s">
        <v>785</v>
      </c>
      <c r="D56" s="54">
        <v>3</v>
      </c>
      <c r="E56" s="53" t="s">
        <v>132</v>
      </c>
      <c r="F56" s="55">
        <v>32</v>
      </c>
      <c r="G56" s="53"/>
      <c r="H56" s="57"/>
      <c r="I56" s="56"/>
      <c r="J56" s="56"/>
      <c r="K56" s="36" t="s">
        <v>66</v>
      </c>
      <c r="L56" s="62">
        <v>56</v>
      </c>
      <c r="M56" s="62"/>
      <c r="N56" s="63"/>
      <c r="O56" s="83" t="s">
        <v>273</v>
      </c>
      <c r="P56" s="85">
        <v>44478.695185185185</v>
      </c>
      <c r="Q56" s="83" t="s">
        <v>280</v>
      </c>
      <c r="R56" s="83"/>
      <c r="S56" s="83"/>
      <c r="T56" s="83"/>
      <c r="U56" s="86" t="str">
        <f>HYPERLINK("https://pbs.twimg.com/media/FBRYOanX0AQOhR2.jpg")</f>
        <v>https://pbs.twimg.com/media/FBRYOanX0AQOhR2.jpg</v>
      </c>
      <c r="V56" s="86" t="str">
        <f>HYPERLINK("https://pbs.twimg.com/media/FBRYOanX0AQOhR2.jpg")</f>
        <v>https://pbs.twimg.com/media/FBRYOanX0AQOhR2.jpg</v>
      </c>
      <c r="W56" s="85">
        <v>44478.695185185185</v>
      </c>
      <c r="X56" s="90">
        <v>44478</v>
      </c>
      <c r="Y56" s="87" t="s">
        <v>292</v>
      </c>
      <c r="Z56" s="86" t="str">
        <f>HYPERLINK("https://twitter.com/naturaize/status/1446878389135106054")</f>
        <v>https://twitter.com/naturaize/status/1446878389135106054</v>
      </c>
      <c r="AA56" s="83"/>
      <c r="AB56" s="83"/>
      <c r="AC56" s="87" t="s">
        <v>302</v>
      </c>
      <c r="AD56" s="87" t="s">
        <v>309</v>
      </c>
      <c r="AE56" s="83" t="b">
        <v>0</v>
      </c>
      <c r="AF56" s="83">
        <v>6</v>
      </c>
      <c r="AG56" s="87" t="s">
        <v>314</v>
      </c>
      <c r="AH56" s="83" t="b">
        <v>0</v>
      </c>
      <c r="AI56" s="83" t="s">
        <v>318</v>
      </c>
      <c r="AJ56" s="83"/>
      <c r="AK56" s="87" t="s">
        <v>312</v>
      </c>
      <c r="AL56" s="83" t="b">
        <v>0</v>
      </c>
      <c r="AM56" s="83">
        <v>1</v>
      </c>
      <c r="AN56" s="87" t="s">
        <v>312</v>
      </c>
      <c r="AO56" s="87" t="s">
        <v>324</v>
      </c>
      <c r="AP56" s="83" t="b">
        <v>0</v>
      </c>
      <c r="AQ56" s="87" t="s">
        <v>309</v>
      </c>
      <c r="AR56" s="83" t="s">
        <v>196</v>
      </c>
      <c r="AS56" s="83">
        <v>0</v>
      </c>
      <c r="AT56" s="83">
        <v>0</v>
      </c>
      <c r="AU56" s="83"/>
      <c r="AV56" s="83"/>
      <c r="AW56" s="83"/>
      <c r="AX56" s="83"/>
      <c r="AY56" s="83"/>
      <c r="AZ56" s="83"/>
      <c r="BA56" s="83"/>
      <c r="BB56" s="83"/>
      <c r="BC56">
        <v>1</v>
      </c>
      <c r="BD56" s="82" t="str">
        <f>REPLACE(INDEX(GroupVertices[Group],MATCH(Edges[[#This Row],[Vertex 1]],GroupVertices[Vertex],0)),1,1,"")</f>
        <v>1</v>
      </c>
      <c r="BE56" s="82" t="str">
        <f>REPLACE(INDEX(GroupVertices[Group],MATCH(Edges[[#This Row],[Vertex 2]],GroupVertices[Vertex],0)),1,1,"")</f>
        <v>1</v>
      </c>
      <c r="BF56" s="51"/>
      <c r="BG56" s="52"/>
      <c r="BH56" s="51"/>
      <c r="BI56" s="52"/>
      <c r="BJ56" s="51"/>
      <c r="BK56" s="52"/>
      <c r="BL56" s="51"/>
      <c r="BM56" s="52"/>
      <c r="BN56" s="51"/>
    </row>
    <row r="57" spans="1:66" ht="15">
      <c r="A57" s="81" t="s">
        <v>237</v>
      </c>
      <c r="B57" s="81" t="s">
        <v>268</v>
      </c>
      <c r="C57" s="53" t="s">
        <v>785</v>
      </c>
      <c r="D57" s="54">
        <v>3</v>
      </c>
      <c r="E57" s="53" t="s">
        <v>132</v>
      </c>
      <c r="F57" s="55">
        <v>32</v>
      </c>
      <c r="G57" s="53"/>
      <c r="H57" s="57"/>
      <c r="I57" s="56"/>
      <c r="J57" s="56"/>
      <c r="K57" s="36" t="s">
        <v>65</v>
      </c>
      <c r="L57" s="62">
        <v>57</v>
      </c>
      <c r="M57" s="62"/>
      <c r="N57" s="63"/>
      <c r="O57" s="83" t="s">
        <v>272</v>
      </c>
      <c r="P57" s="85">
        <v>44478.695185185185</v>
      </c>
      <c r="Q57" s="83" t="s">
        <v>280</v>
      </c>
      <c r="R57" s="83"/>
      <c r="S57" s="83"/>
      <c r="T57" s="83"/>
      <c r="U57" s="86" t="str">
        <f>HYPERLINK("https://pbs.twimg.com/media/FBRYOanX0AQOhR2.jpg")</f>
        <v>https://pbs.twimg.com/media/FBRYOanX0AQOhR2.jpg</v>
      </c>
      <c r="V57" s="86" t="str">
        <f>HYPERLINK("https://pbs.twimg.com/media/FBRYOanX0AQOhR2.jpg")</f>
        <v>https://pbs.twimg.com/media/FBRYOanX0AQOhR2.jpg</v>
      </c>
      <c r="W57" s="85">
        <v>44478.695185185185</v>
      </c>
      <c r="X57" s="90">
        <v>44478</v>
      </c>
      <c r="Y57" s="87" t="s">
        <v>292</v>
      </c>
      <c r="Z57" s="86" t="str">
        <f>HYPERLINK("https://twitter.com/naturaize/status/1446878389135106054")</f>
        <v>https://twitter.com/naturaize/status/1446878389135106054</v>
      </c>
      <c r="AA57" s="83"/>
      <c r="AB57" s="83"/>
      <c r="AC57" s="87" t="s">
        <v>302</v>
      </c>
      <c r="AD57" s="87" t="s">
        <v>309</v>
      </c>
      <c r="AE57" s="83" t="b">
        <v>0</v>
      </c>
      <c r="AF57" s="83">
        <v>6</v>
      </c>
      <c r="AG57" s="87" t="s">
        <v>314</v>
      </c>
      <c r="AH57" s="83" t="b">
        <v>0</v>
      </c>
      <c r="AI57" s="83" t="s">
        <v>318</v>
      </c>
      <c r="AJ57" s="83"/>
      <c r="AK57" s="87" t="s">
        <v>312</v>
      </c>
      <c r="AL57" s="83" t="b">
        <v>0</v>
      </c>
      <c r="AM57" s="83">
        <v>1</v>
      </c>
      <c r="AN57" s="87" t="s">
        <v>312</v>
      </c>
      <c r="AO57" s="87" t="s">
        <v>324</v>
      </c>
      <c r="AP57" s="83" t="b">
        <v>0</v>
      </c>
      <c r="AQ57" s="87" t="s">
        <v>309</v>
      </c>
      <c r="AR57" s="83" t="s">
        <v>196</v>
      </c>
      <c r="AS57" s="83">
        <v>0</v>
      </c>
      <c r="AT57" s="83">
        <v>0</v>
      </c>
      <c r="AU57" s="83"/>
      <c r="AV57" s="83"/>
      <c r="AW57" s="83"/>
      <c r="AX57" s="83"/>
      <c r="AY57" s="83"/>
      <c r="AZ57" s="83"/>
      <c r="BA57" s="83"/>
      <c r="BB57" s="83"/>
      <c r="BC57">
        <v>1</v>
      </c>
      <c r="BD57" s="82" t="str">
        <f>REPLACE(INDEX(GroupVertices[Group],MATCH(Edges[[#This Row],[Vertex 1]],GroupVertices[Vertex],0)),1,1,"")</f>
        <v>1</v>
      </c>
      <c r="BE57" s="82" t="str">
        <f>REPLACE(INDEX(GroupVertices[Group],MATCH(Edges[[#This Row],[Vertex 2]],GroupVertices[Vertex],0)),1,1,"")</f>
        <v>1</v>
      </c>
      <c r="BF57" s="51">
        <v>0</v>
      </c>
      <c r="BG57" s="52">
        <v>0</v>
      </c>
      <c r="BH57" s="51">
        <v>1</v>
      </c>
      <c r="BI57" s="52">
        <v>1.2195121951219512</v>
      </c>
      <c r="BJ57" s="51">
        <v>0</v>
      </c>
      <c r="BK57" s="52">
        <v>0</v>
      </c>
      <c r="BL57" s="51">
        <v>81</v>
      </c>
      <c r="BM57" s="52">
        <v>98.78048780487805</v>
      </c>
      <c r="BN57" s="51">
        <v>82</v>
      </c>
    </row>
    <row r="58" spans="1:66" ht="15">
      <c r="A58" s="81" t="s">
        <v>238</v>
      </c>
      <c r="B58" s="81" t="s">
        <v>237</v>
      </c>
      <c r="C58" s="53" t="s">
        <v>785</v>
      </c>
      <c r="D58" s="54">
        <v>3</v>
      </c>
      <c r="E58" s="53" t="s">
        <v>132</v>
      </c>
      <c r="F58" s="55">
        <v>32</v>
      </c>
      <c r="G58" s="53"/>
      <c r="H58" s="57"/>
      <c r="I58" s="56"/>
      <c r="J58" s="56"/>
      <c r="K58" s="36" t="s">
        <v>66</v>
      </c>
      <c r="L58" s="62">
        <v>58</v>
      </c>
      <c r="M58" s="62"/>
      <c r="N58" s="63"/>
      <c r="O58" s="83" t="s">
        <v>275</v>
      </c>
      <c r="P58" s="85">
        <v>44478.70872685185</v>
      </c>
      <c r="Q58" s="83" t="s">
        <v>280</v>
      </c>
      <c r="R58" s="83"/>
      <c r="S58" s="83"/>
      <c r="T58" s="83"/>
      <c r="U58" s="86" t="str">
        <f>HYPERLINK("https://pbs.twimg.com/media/FBRYOanX0AQOhR2.jpg")</f>
        <v>https://pbs.twimg.com/media/FBRYOanX0AQOhR2.jpg</v>
      </c>
      <c r="V58" s="86" t="str">
        <f>HYPERLINK("https://pbs.twimg.com/media/FBRYOanX0AQOhR2.jpg")</f>
        <v>https://pbs.twimg.com/media/FBRYOanX0AQOhR2.jpg</v>
      </c>
      <c r="W58" s="85">
        <v>44478.70872685185</v>
      </c>
      <c r="X58" s="90">
        <v>44478</v>
      </c>
      <c r="Y58" s="87" t="s">
        <v>293</v>
      </c>
      <c r="Z58" s="86" t="str">
        <f>HYPERLINK("https://twitter.com/raaga31280/status/1446883298274250754")</f>
        <v>https://twitter.com/raaga31280/status/1446883298274250754</v>
      </c>
      <c r="AA58" s="83"/>
      <c r="AB58" s="83"/>
      <c r="AC58" s="87" t="s">
        <v>303</v>
      </c>
      <c r="AD58" s="83"/>
      <c r="AE58" s="83" t="b">
        <v>0</v>
      </c>
      <c r="AF58" s="83">
        <v>0</v>
      </c>
      <c r="AG58" s="87" t="s">
        <v>312</v>
      </c>
      <c r="AH58" s="83" t="b">
        <v>0</v>
      </c>
      <c r="AI58" s="83" t="s">
        <v>318</v>
      </c>
      <c r="AJ58" s="83"/>
      <c r="AK58" s="87" t="s">
        <v>312</v>
      </c>
      <c r="AL58" s="83" t="b">
        <v>0</v>
      </c>
      <c r="AM58" s="83">
        <v>1</v>
      </c>
      <c r="AN58" s="87" t="s">
        <v>302</v>
      </c>
      <c r="AO58" s="87" t="s">
        <v>323</v>
      </c>
      <c r="AP58" s="83" t="b">
        <v>0</v>
      </c>
      <c r="AQ58" s="87" t="s">
        <v>302</v>
      </c>
      <c r="AR58" s="83" t="s">
        <v>196</v>
      </c>
      <c r="AS58" s="83">
        <v>0</v>
      </c>
      <c r="AT58" s="83">
        <v>0</v>
      </c>
      <c r="AU58" s="83"/>
      <c r="AV58" s="83"/>
      <c r="AW58" s="83"/>
      <c r="AX58" s="83"/>
      <c r="AY58" s="83"/>
      <c r="AZ58" s="83"/>
      <c r="BA58" s="83"/>
      <c r="BB58" s="83"/>
      <c r="BC58">
        <v>1</v>
      </c>
      <c r="BD58" s="82" t="str">
        <f>REPLACE(INDEX(GroupVertices[Group],MATCH(Edges[[#This Row],[Vertex 1]],GroupVertices[Vertex],0)),1,1,"")</f>
        <v>1</v>
      </c>
      <c r="BE58" s="82" t="str">
        <f>REPLACE(INDEX(GroupVertices[Group],MATCH(Edges[[#This Row],[Vertex 2]],GroupVertices[Vertex],0)),1,1,"")</f>
        <v>1</v>
      </c>
      <c r="BF58" s="51"/>
      <c r="BG58" s="52"/>
      <c r="BH58" s="51"/>
      <c r="BI58" s="52"/>
      <c r="BJ58" s="51"/>
      <c r="BK58" s="52"/>
      <c r="BL58" s="51"/>
      <c r="BM58" s="52"/>
      <c r="BN58" s="51"/>
    </row>
    <row r="59" spans="1:66" ht="15">
      <c r="A59" s="81" t="s">
        <v>238</v>
      </c>
      <c r="B59" s="81" t="s">
        <v>268</v>
      </c>
      <c r="C59" s="53" t="s">
        <v>785</v>
      </c>
      <c r="D59" s="54">
        <v>3</v>
      </c>
      <c r="E59" s="53" t="s">
        <v>132</v>
      </c>
      <c r="F59" s="55">
        <v>32</v>
      </c>
      <c r="G59" s="53"/>
      <c r="H59" s="57"/>
      <c r="I59" s="56"/>
      <c r="J59" s="56"/>
      <c r="K59" s="36" t="s">
        <v>65</v>
      </c>
      <c r="L59" s="62">
        <v>59</v>
      </c>
      <c r="M59" s="62"/>
      <c r="N59" s="63"/>
      <c r="O59" s="83" t="s">
        <v>272</v>
      </c>
      <c r="P59" s="85">
        <v>44478.70872685185</v>
      </c>
      <c r="Q59" s="83" t="s">
        <v>280</v>
      </c>
      <c r="R59" s="83"/>
      <c r="S59" s="83"/>
      <c r="T59" s="83"/>
      <c r="U59" s="86" t="str">
        <f>HYPERLINK("https://pbs.twimg.com/media/FBRYOanX0AQOhR2.jpg")</f>
        <v>https://pbs.twimg.com/media/FBRYOanX0AQOhR2.jpg</v>
      </c>
      <c r="V59" s="86" t="str">
        <f>HYPERLINK("https://pbs.twimg.com/media/FBRYOanX0AQOhR2.jpg")</f>
        <v>https://pbs.twimg.com/media/FBRYOanX0AQOhR2.jpg</v>
      </c>
      <c r="W59" s="85">
        <v>44478.70872685185</v>
      </c>
      <c r="X59" s="90">
        <v>44478</v>
      </c>
      <c r="Y59" s="87" t="s">
        <v>293</v>
      </c>
      <c r="Z59" s="86" t="str">
        <f>HYPERLINK("https://twitter.com/raaga31280/status/1446883298274250754")</f>
        <v>https://twitter.com/raaga31280/status/1446883298274250754</v>
      </c>
      <c r="AA59" s="83"/>
      <c r="AB59" s="83"/>
      <c r="AC59" s="87" t="s">
        <v>303</v>
      </c>
      <c r="AD59" s="83"/>
      <c r="AE59" s="83" t="b">
        <v>0</v>
      </c>
      <c r="AF59" s="83">
        <v>0</v>
      </c>
      <c r="AG59" s="87" t="s">
        <v>312</v>
      </c>
      <c r="AH59" s="83" t="b">
        <v>0</v>
      </c>
      <c r="AI59" s="83" t="s">
        <v>318</v>
      </c>
      <c r="AJ59" s="83"/>
      <c r="AK59" s="87" t="s">
        <v>312</v>
      </c>
      <c r="AL59" s="83" t="b">
        <v>0</v>
      </c>
      <c r="AM59" s="83">
        <v>1</v>
      </c>
      <c r="AN59" s="87" t="s">
        <v>302</v>
      </c>
      <c r="AO59" s="87" t="s">
        <v>323</v>
      </c>
      <c r="AP59" s="83" t="b">
        <v>0</v>
      </c>
      <c r="AQ59" s="87" t="s">
        <v>302</v>
      </c>
      <c r="AR59" s="83" t="s">
        <v>196</v>
      </c>
      <c r="AS59" s="83">
        <v>0</v>
      </c>
      <c r="AT59" s="83">
        <v>0</v>
      </c>
      <c r="AU59" s="83"/>
      <c r="AV59" s="83"/>
      <c r="AW59" s="83"/>
      <c r="AX59" s="83"/>
      <c r="AY59" s="83"/>
      <c r="AZ59" s="83"/>
      <c r="BA59" s="83"/>
      <c r="BB59" s="83"/>
      <c r="BC59">
        <v>1</v>
      </c>
      <c r="BD59" s="82" t="str">
        <f>REPLACE(INDEX(GroupVertices[Group],MATCH(Edges[[#This Row],[Vertex 1]],GroupVertices[Vertex],0)),1,1,"")</f>
        <v>1</v>
      </c>
      <c r="BE59" s="82" t="str">
        <f>REPLACE(INDEX(GroupVertices[Group],MATCH(Edges[[#This Row],[Vertex 2]],GroupVertices[Vertex],0)),1,1,"")</f>
        <v>1</v>
      </c>
      <c r="BF59" s="51">
        <v>0</v>
      </c>
      <c r="BG59" s="52">
        <v>0</v>
      </c>
      <c r="BH59" s="51">
        <v>1</v>
      </c>
      <c r="BI59" s="52">
        <v>1.2195121951219512</v>
      </c>
      <c r="BJ59" s="51">
        <v>0</v>
      </c>
      <c r="BK59" s="52">
        <v>0</v>
      </c>
      <c r="BL59" s="51">
        <v>81</v>
      </c>
      <c r="BM59" s="52">
        <v>98.78048780487805</v>
      </c>
      <c r="BN59" s="51">
        <v>82</v>
      </c>
    </row>
    <row r="60" spans="1:66" ht="15">
      <c r="A60" s="81" t="s">
        <v>239</v>
      </c>
      <c r="B60" s="81" t="s">
        <v>239</v>
      </c>
      <c r="C60" s="53" t="s">
        <v>785</v>
      </c>
      <c r="D60" s="54">
        <v>3</v>
      </c>
      <c r="E60" s="53" t="s">
        <v>132</v>
      </c>
      <c r="F60" s="55">
        <v>32</v>
      </c>
      <c r="G60" s="53"/>
      <c r="H60" s="57"/>
      <c r="I60" s="56"/>
      <c r="J60" s="56"/>
      <c r="K60" s="36" t="s">
        <v>65</v>
      </c>
      <c r="L60" s="62">
        <v>60</v>
      </c>
      <c r="M60" s="62"/>
      <c r="N60" s="63"/>
      <c r="O60" s="83" t="s">
        <v>196</v>
      </c>
      <c r="P60" s="85">
        <v>44479.608402777776</v>
      </c>
      <c r="Q60" s="83" t="s">
        <v>281</v>
      </c>
      <c r="R60" s="83"/>
      <c r="S60" s="83"/>
      <c r="T60" s="87" t="s">
        <v>286</v>
      </c>
      <c r="U60" s="83"/>
      <c r="V60" s="86" t="str">
        <f>HYPERLINK("https://pbs.twimg.com/profile_images/973676208796860416/LXmaaDQY_normal.jpg")</f>
        <v>https://pbs.twimg.com/profile_images/973676208796860416/LXmaaDQY_normal.jpg</v>
      </c>
      <c r="W60" s="85">
        <v>44479.608402777776</v>
      </c>
      <c r="X60" s="90">
        <v>44479</v>
      </c>
      <c r="Y60" s="87" t="s">
        <v>294</v>
      </c>
      <c r="Z60" s="86" t="str">
        <f>HYPERLINK("https://twitter.com/deitygalaxy/status/1447209327442468865")</f>
        <v>https://twitter.com/deitygalaxy/status/1447209327442468865</v>
      </c>
      <c r="AA60" s="83"/>
      <c r="AB60" s="83"/>
      <c r="AC60" s="87" t="s">
        <v>304</v>
      </c>
      <c r="AD60" s="83"/>
      <c r="AE60" s="83" t="b">
        <v>0</v>
      </c>
      <c r="AF60" s="83">
        <v>0</v>
      </c>
      <c r="AG60" s="87" t="s">
        <v>312</v>
      </c>
      <c r="AH60" s="83" t="b">
        <v>0</v>
      </c>
      <c r="AI60" s="83" t="s">
        <v>317</v>
      </c>
      <c r="AJ60" s="83"/>
      <c r="AK60" s="87" t="s">
        <v>312</v>
      </c>
      <c r="AL60" s="83" t="b">
        <v>0</v>
      </c>
      <c r="AM60" s="83">
        <v>0</v>
      </c>
      <c r="AN60" s="87" t="s">
        <v>312</v>
      </c>
      <c r="AO60" s="87" t="s">
        <v>239</v>
      </c>
      <c r="AP60" s="83" t="b">
        <v>0</v>
      </c>
      <c r="AQ60" s="87" t="s">
        <v>304</v>
      </c>
      <c r="AR60" s="83" t="s">
        <v>196</v>
      </c>
      <c r="AS60" s="83">
        <v>0</v>
      </c>
      <c r="AT60" s="83">
        <v>0</v>
      </c>
      <c r="AU60" s="83"/>
      <c r="AV60" s="83"/>
      <c r="AW60" s="83"/>
      <c r="AX60" s="83"/>
      <c r="AY60" s="83"/>
      <c r="AZ60" s="83"/>
      <c r="BA60" s="83"/>
      <c r="BB60" s="83"/>
      <c r="BC60">
        <v>1</v>
      </c>
      <c r="BD60" s="82" t="str">
        <f>REPLACE(INDEX(GroupVertices[Group],MATCH(Edges[[#This Row],[Vertex 1]],GroupVertices[Vertex],0)),1,1,"")</f>
        <v>2</v>
      </c>
      <c r="BE60" s="82" t="str">
        <f>REPLACE(INDEX(GroupVertices[Group],MATCH(Edges[[#This Row],[Vertex 2]],GroupVertices[Vertex],0)),1,1,"")</f>
        <v>2</v>
      </c>
      <c r="BF60" s="51">
        <v>0</v>
      </c>
      <c r="BG60" s="52">
        <v>0</v>
      </c>
      <c r="BH60" s="51">
        <v>1</v>
      </c>
      <c r="BI60" s="52">
        <v>6.25</v>
      </c>
      <c r="BJ60" s="51">
        <v>0</v>
      </c>
      <c r="BK60" s="52">
        <v>0</v>
      </c>
      <c r="BL60" s="51">
        <v>15</v>
      </c>
      <c r="BM60" s="52">
        <v>93.75</v>
      </c>
      <c r="BN60" s="51">
        <v>16</v>
      </c>
    </row>
    <row r="61" spans="1:66" ht="15">
      <c r="A61" s="81" t="s">
        <v>240</v>
      </c>
      <c r="B61" s="81" t="s">
        <v>269</v>
      </c>
      <c r="C61" s="53" t="s">
        <v>785</v>
      </c>
      <c r="D61" s="54">
        <v>3</v>
      </c>
      <c r="E61" s="53" t="s">
        <v>132</v>
      </c>
      <c r="F61" s="55">
        <v>32</v>
      </c>
      <c r="G61" s="53"/>
      <c r="H61" s="57"/>
      <c r="I61" s="56"/>
      <c r="J61" s="56"/>
      <c r="K61" s="36" t="s">
        <v>65</v>
      </c>
      <c r="L61" s="62">
        <v>61</v>
      </c>
      <c r="M61" s="62"/>
      <c r="N61" s="63"/>
      <c r="O61" s="83" t="s">
        <v>273</v>
      </c>
      <c r="P61" s="85">
        <v>44481.2121412037</v>
      </c>
      <c r="Q61" s="83" t="s">
        <v>282</v>
      </c>
      <c r="R61" s="83"/>
      <c r="S61" s="83"/>
      <c r="T61" s="87" t="s">
        <v>287</v>
      </c>
      <c r="U61" s="86" t="str">
        <f>HYPERLINK("https://pbs.twimg.com/media/FBeVyh5XoAUewJp.jpg")</f>
        <v>https://pbs.twimg.com/media/FBeVyh5XoAUewJp.jpg</v>
      </c>
      <c r="V61" s="86" t="str">
        <f>HYPERLINK("https://pbs.twimg.com/media/FBeVyh5XoAUewJp.jpg")</f>
        <v>https://pbs.twimg.com/media/FBeVyh5XoAUewJp.jpg</v>
      </c>
      <c r="W61" s="85">
        <v>44481.2121412037</v>
      </c>
      <c r="X61" s="90">
        <v>44481</v>
      </c>
      <c r="Y61" s="87" t="s">
        <v>295</v>
      </c>
      <c r="Z61" s="86" t="str">
        <f>HYPERLINK("https://twitter.com/hilton_philip/status/1447790506075885568")</f>
        <v>https://twitter.com/hilton_philip/status/1447790506075885568</v>
      </c>
      <c r="AA61" s="83"/>
      <c r="AB61" s="83"/>
      <c r="AC61" s="87" t="s">
        <v>305</v>
      </c>
      <c r="AD61" s="87" t="s">
        <v>310</v>
      </c>
      <c r="AE61" s="83" t="b">
        <v>0</v>
      </c>
      <c r="AF61" s="83">
        <v>0</v>
      </c>
      <c r="AG61" s="87" t="s">
        <v>315</v>
      </c>
      <c r="AH61" s="83" t="b">
        <v>0</v>
      </c>
      <c r="AI61" s="83" t="s">
        <v>317</v>
      </c>
      <c r="AJ61" s="83"/>
      <c r="AK61" s="87" t="s">
        <v>312</v>
      </c>
      <c r="AL61" s="83" t="b">
        <v>0</v>
      </c>
      <c r="AM61" s="83">
        <v>0</v>
      </c>
      <c r="AN61" s="87" t="s">
        <v>312</v>
      </c>
      <c r="AO61" s="87" t="s">
        <v>324</v>
      </c>
      <c r="AP61" s="83" t="b">
        <v>0</v>
      </c>
      <c r="AQ61" s="87" t="s">
        <v>310</v>
      </c>
      <c r="AR61" s="83" t="s">
        <v>196</v>
      </c>
      <c r="AS61" s="83">
        <v>0</v>
      </c>
      <c r="AT61" s="83">
        <v>0</v>
      </c>
      <c r="AU61" s="83"/>
      <c r="AV61" s="83"/>
      <c r="AW61" s="83"/>
      <c r="AX61" s="83"/>
      <c r="AY61" s="83"/>
      <c r="AZ61" s="83"/>
      <c r="BA61" s="83"/>
      <c r="BB61" s="83"/>
      <c r="BC61">
        <v>1</v>
      </c>
      <c r="BD61" s="82" t="str">
        <f>REPLACE(INDEX(GroupVertices[Group],MATCH(Edges[[#This Row],[Vertex 1]],GroupVertices[Vertex],0)),1,1,"")</f>
        <v>3</v>
      </c>
      <c r="BE61" s="82" t="str">
        <f>REPLACE(INDEX(GroupVertices[Group],MATCH(Edges[[#This Row],[Vertex 2]],GroupVertices[Vertex],0)),1,1,"")</f>
        <v>3</v>
      </c>
      <c r="BF61" s="51"/>
      <c r="BG61" s="52"/>
      <c r="BH61" s="51"/>
      <c r="BI61" s="52"/>
      <c r="BJ61" s="51"/>
      <c r="BK61" s="52"/>
      <c r="BL61" s="51"/>
      <c r="BM61" s="52"/>
      <c r="BN61" s="51"/>
    </row>
    <row r="62" spans="1:66" ht="15">
      <c r="A62" s="81" t="s">
        <v>240</v>
      </c>
      <c r="B62" s="81" t="s">
        <v>270</v>
      </c>
      <c r="C62" s="53" t="s">
        <v>785</v>
      </c>
      <c r="D62" s="54">
        <v>3</v>
      </c>
      <c r="E62" s="53" t="s">
        <v>132</v>
      </c>
      <c r="F62" s="55">
        <v>32</v>
      </c>
      <c r="G62" s="53"/>
      <c r="H62" s="57"/>
      <c r="I62" s="56"/>
      <c r="J62" s="56"/>
      <c r="K62" s="36" t="s">
        <v>65</v>
      </c>
      <c r="L62" s="62">
        <v>62</v>
      </c>
      <c r="M62" s="62"/>
      <c r="N62" s="63"/>
      <c r="O62" s="83" t="s">
        <v>272</v>
      </c>
      <c r="P62" s="85">
        <v>44481.2121412037</v>
      </c>
      <c r="Q62" s="83" t="s">
        <v>282</v>
      </c>
      <c r="R62" s="83"/>
      <c r="S62" s="83"/>
      <c r="T62" s="87" t="s">
        <v>287</v>
      </c>
      <c r="U62" s="86" t="str">
        <f>HYPERLINK("https://pbs.twimg.com/media/FBeVyh5XoAUewJp.jpg")</f>
        <v>https://pbs.twimg.com/media/FBeVyh5XoAUewJp.jpg</v>
      </c>
      <c r="V62" s="86" t="str">
        <f>HYPERLINK("https://pbs.twimg.com/media/FBeVyh5XoAUewJp.jpg")</f>
        <v>https://pbs.twimg.com/media/FBeVyh5XoAUewJp.jpg</v>
      </c>
      <c r="W62" s="85">
        <v>44481.2121412037</v>
      </c>
      <c r="X62" s="90">
        <v>44481</v>
      </c>
      <c r="Y62" s="87" t="s">
        <v>295</v>
      </c>
      <c r="Z62" s="86" t="str">
        <f>HYPERLINK("https://twitter.com/hilton_philip/status/1447790506075885568")</f>
        <v>https://twitter.com/hilton_philip/status/1447790506075885568</v>
      </c>
      <c r="AA62" s="83"/>
      <c r="AB62" s="83"/>
      <c r="AC62" s="87" t="s">
        <v>305</v>
      </c>
      <c r="AD62" s="87" t="s">
        <v>310</v>
      </c>
      <c r="AE62" s="83" t="b">
        <v>0</v>
      </c>
      <c r="AF62" s="83">
        <v>0</v>
      </c>
      <c r="AG62" s="87" t="s">
        <v>315</v>
      </c>
      <c r="AH62" s="83" t="b">
        <v>0</v>
      </c>
      <c r="AI62" s="83" t="s">
        <v>317</v>
      </c>
      <c r="AJ62" s="83"/>
      <c r="AK62" s="87" t="s">
        <v>312</v>
      </c>
      <c r="AL62" s="83" t="b">
        <v>0</v>
      </c>
      <c r="AM62" s="83">
        <v>0</v>
      </c>
      <c r="AN62" s="87" t="s">
        <v>312</v>
      </c>
      <c r="AO62" s="87" t="s">
        <v>324</v>
      </c>
      <c r="AP62" s="83" t="b">
        <v>0</v>
      </c>
      <c r="AQ62" s="87" t="s">
        <v>310</v>
      </c>
      <c r="AR62" s="83" t="s">
        <v>196</v>
      </c>
      <c r="AS62" s="83">
        <v>0</v>
      </c>
      <c r="AT62" s="83">
        <v>0</v>
      </c>
      <c r="AU62" s="83"/>
      <c r="AV62" s="83"/>
      <c r="AW62" s="83"/>
      <c r="AX62" s="83"/>
      <c r="AY62" s="83"/>
      <c r="AZ62" s="83"/>
      <c r="BA62" s="83"/>
      <c r="BB62" s="83"/>
      <c r="BC62">
        <v>1</v>
      </c>
      <c r="BD62" s="82" t="str">
        <f>REPLACE(INDEX(GroupVertices[Group],MATCH(Edges[[#This Row],[Vertex 1]],GroupVertices[Vertex],0)),1,1,"")</f>
        <v>3</v>
      </c>
      <c r="BE62" s="82" t="str">
        <f>REPLACE(INDEX(GroupVertices[Group],MATCH(Edges[[#This Row],[Vertex 2]],GroupVertices[Vertex],0)),1,1,"")</f>
        <v>3</v>
      </c>
      <c r="BF62" s="51">
        <v>2</v>
      </c>
      <c r="BG62" s="52">
        <v>3.6363636363636362</v>
      </c>
      <c r="BH62" s="51">
        <v>2</v>
      </c>
      <c r="BI62" s="52">
        <v>3.6363636363636362</v>
      </c>
      <c r="BJ62" s="51">
        <v>0</v>
      </c>
      <c r="BK62" s="52">
        <v>0</v>
      </c>
      <c r="BL62" s="51">
        <v>51</v>
      </c>
      <c r="BM62" s="52">
        <v>92.72727272727273</v>
      </c>
      <c r="BN62" s="51">
        <v>55</v>
      </c>
    </row>
    <row r="63" spans="1:66" ht="15">
      <c r="A63" s="81" t="s">
        <v>241</v>
      </c>
      <c r="B63" s="81" t="s">
        <v>271</v>
      </c>
      <c r="C63" s="53" t="s">
        <v>785</v>
      </c>
      <c r="D63" s="54">
        <v>3</v>
      </c>
      <c r="E63" s="53" t="s">
        <v>132</v>
      </c>
      <c r="F63" s="55">
        <v>32</v>
      </c>
      <c r="G63" s="53"/>
      <c r="H63" s="57"/>
      <c r="I63" s="56"/>
      <c r="J63" s="56"/>
      <c r="K63" s="36" t="s">
        <v>65</v>
      </c>
      <c r="L63" s="62">
        <v>63</v>
      </c>
      <c r="M63" s="62"/>
      <c r="N63" s="63"/>
      <c r="O63" s="83" t="s">
        <v>272</v>
      </c>
      <c r="P63" s="85">
        <v>44481.71864583333</v>
      </c>
      <c r="Q63" s="83" t="s">
        <v>283</v>
      </c>
      <c r="R63" s="83"/>
      <c r="S63" s="83"/>
      <c r="T63" s="83"/>
      <c r="U63" s="83"/>
      <c r="V63" s="86" t="str">
        <f>HYPERLINK("https://pbs.twimg.com/profile_images/1428396752495861765/dWSH_W-8_normal.jpg")</f>
        <v>https://pbs.twimg.com/profile_images/1428396752495861765/dWSH_W-8_normal.jpg</v>
      </c>
      <c r="W63" s="85">
        <v>44481.71864583333</v>
      </c>
      <c r="X63" s="90">
        <v>44481</v>
      </c>
      <c r="Y63" s="87" t="s">
        <v>296</v>
      </c>
      <c r="Z63" s="86" t="str">
        <f>HYPERLINK("https://twitter.com/ajumzu/status/1447974055106252807")</f>
        <v>https://twitter.com/ajumzu/status/1447974055106252807</v>
      </c>
      <c r="AA63" s="83"/>
      <c r="AB63" s="83"/>
      <c r="AC63" s="87" t="s">
        <v>306</v>
      </c>
      <c r="AD63" s="87" t="s">
        <v>311</v>
      </c>
      <c r="AE63" s="83" t="b">
        <v>0</v>
      </c>
      <c r="AF63" s="83">
        <v>0</v>
      </c>
      <c r="AG63" s="87" t="s">
        <v>316</v>
      </c>
      <c r="AH63" s="83" t="b">
        <v>0</v>
      </c>
      <c r="AI63" s="83" t="s">
        <v>317</v>
      </c>
      <c r="AJ63" s="83"/>
      <c r="AK63" s="87" t="s">
        <v>312</v>
      </c>
      <c r="AL63" s="83" t="b">
        <v>0</v>
      </c>
      <c r="AM63" s="83">
        <v>0</v>
      </c>
      <c r="AN63" s="87" t="s">
        <v>312</v>
      </c>
      <c r="AO63" s="87" t="s">
        <v>323</v>
      </c>
      <c r="AP63" s="83" t="b">
        <v>0</v>
      </c>
      <c r="AQ63" s="87" t="s">
        <v>311</v>
      </c>
      <c r="AR63" s="83" t="s">
        <v>196</v>
      </c>
      <c r="AS63" s="83">
        <v>0</v>
      </c>
      <c r="AT63" s="83">
        <v>0</v>
      </c>
      <c r="AU63" s="83"/>
      <c r="AV63" s="83"/>
      <c r="AW63" s="83"/>
      <c r="AX63" s="83"/>
      <c r="AY63" s="83"/>
      <c r="AZ63" s="83"/>
      <c r="BA63" s="83"/>
      <c r="BB63" s="83"/>
      <c r="BC63">
        <v>1</v>
      </c>
      <c r="BD63" s="82" t="str">
        <f>REPLACE(INDEX(GroupVertices[Group],MATCH(Edges[[#This Row],[Vertex 1]],GroupVertices[Vertex],0)),1,1,"")</f>
        <v>4</v>
      </c>
      <c r="BE63" s="82" t="str">
        <f>REPLACE(INDEX(GroupVertices[Group],MATCH(Edges[[#This Row],[Vertex 2]],GroupVertices[Vertex],0)),1,1,"")</f>
        <v>4</v>
      </c>
      <c r="BF63" s="51">
        <v>0</v>
      </c>
      <c r="BG63" s="52">
        <v>0</v>
      </c>
      <c r="BH63" s="51">
        <v>1</v>
      </c>
      <c r="BI63" s="52">
        <v>2.9411764705882355</v>
      </c>
      <c r="BJ63" s="51">
        <v>0</v>
      </c>
      <c r="BK63" s="52">
        <v>0</v>
      </c>
      <c r="BL63" s="51">
        <v>33</v>
      </c>
      <c r="BM63" s="52">
        <v>97.05882352941177</v>
      </c>
      <c r="BN63"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3327-969C-4649-B7EC-353A8C882D90}">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727</v>
      </c>
      <c r="B1" s="13" t="s">
        <v>728</v>
      </c>
      <c r="C1" s="13" t="s">
        <v>718</v>
      </c>
      <c r="D1" s="13" t="s">
        <v>722</v>
      </c>
      <c r="E1" s="13" t="s">
        <v>729</v>
      </c>
      <c r="F1" s="13" t="s">
        <v>144</v>
      </c>
      <c r="G1" s="13" t="s">
        <v>730</v>
      </c>
      <c r="H1" s="13" t="s">
        <v>731</v>
      </c>
      <c r="I1" s="13" t="s">
        <v>732</v>
      </c>
      <c r="J1" s="13" t="s">
        <v>733</v>
      </c>
      <c r="K1" s="13" t="s">
        <v>734</v>
      </c>
      <c r="L1" s="13" t="s">
        <v>735</v>
      </c>
    </row>
    <row r="2" spans="1:12" ht="15">
      <c r="A2" s="91" t="s">
        <v>567</v>
      </c>
      <c r="B2" s="91" t="s">
        <v>582</v>
      </c>
      <c r="C2" s="91">
        <v>5</v>
      </c>
      <c r="D2" s="121">
        <v>0.005017166594399687</v>
      </c>
      <c r="E2" s="121">
        <v>1.0310342337399687</v>
      </c>
      <c r="F2" s="91" t="s">
        <v>723</v>
      </c>
      <c r="G2" s="91" t="b">
        <v>0</v>
      </c>
      <c r="H2" s="91" t="b">
        <v>0</v>
      </c>
      <c r="I2" s="91" t="b">
        <v>0</v>
      </c>
      <c r="J2" s="91" t="b">
        <v>0</v>
      </c>
      <c r="K2" s="91" t="b">
        <v>0</v>
      </c>
      <c r="L2" s="91" t="b">
        <v>0</v>
      </c>
    </row>
    <row r="3" spans="1:12" ht="15">
      <c r="A3" s="87" t="s">
        <v>268</v>
      </c>
      <c r="B3" s="91" t="s">
        <v>267</v>
      </c>
      <c r="C3" s="91">
        <v>2</v>
      </c>
      <c r="D3" s="121">
        <v>0.004659800028906792</v>
      </c>
      <c r="E3" s="121">
        <v>2.161368002234975</v>
      </c>
      <c r="F3" s="91" t="s">
        <v>723</v>
      </c>
      <c r="G3" s="91" t="b">
        <v>0</v>
      </c>
      <c r="H3" s="91" t="b">
        <v>0</v>
      </c>
      <c r="I3" s="91" t="b">
        <v>0</v>
      </c>
      <c r="J3" s="91" t="b">
        <v>0</v>
      </c>
      <c r="K3" s="91" t="b">
        <v>0</v>
      </c>
      <c r="L3" s="91" t="b">
        <v>0</v>
      </c>
    </row>
    <row r="4" spans="1:12" ht="15">
      <c r="A4" s="87" t="s">
        <v>267</v>
      </c>
      <c r="B4" s="91" t="s">
        <v>266</v>
      </c>
      <c r="C4" s="91">
        <v>2</v>
      </c>
      <c r="D4" s="121">
        <v>0.004659800028906792</v>
      </c>
      <c r="E4" s="121">
        <v>2.161368002234975</v>
      </c>
      <c r="F4" s="91" t="s">
        <v>723</v>
      </c>
      <c r="G4" s="91" t="b">
        <v>0</v>
      </c>
      <c r="H4" s="91" t="b">
        <v>0</v>
      </c>
      <c r="I4" s="91" t="b">
        <v>0</v>
      </c>
      <c r="J4" s="91" t="b">
        <v>0</v>
      </c>
      <c r="K4" s="91" t="b">
        <v>0</v>
      </c>
      <c r="L4" s="91" t="b">
        <v>0</v>
      </c>
    </row>
    <row r="5" spans="1:12" ht="15">
      <c r="A5" s="87" t="s">
        <v>266</v>
      </c>
      <c r="B5" s="91" t="s">
        <v>265</v>
      </c>
      <c r="C5" s="91">
        <v>2</v>
      </c>
      <c r="D5" s="121">
        <v>0.004659800028906792</v>
      </c>
      <c r="E5" s="121">
        <v>2.161368002234975</v>
      </c>
      <c r="F5" s="91" t="s">
        <v>723</v>
      </c>
      <c r="G5" s="91" t="b">
        <v>0</v>
      </c>
      <c r="H5" s="91" t="b">
        <v>0</v>
      </c>
      <c r="I5" s="91" t="b">
        <v>0</v>
      </c>
      <c r="J5" s="91" t="b">
        <v>0</v>
      </c>
      <c r="K5" s="91" t="b">
        <v>0</v>
      </c>
      <c r="L5" s="91" t="b">
        <v>0</v>
      </c>
    </row>
    <row r="6" spans="1:12" ht="15">
      <c r="A6" s="87" t="s">
        <v>265</v>
      </c>
      <c r="B6" s="91" t="s">
        <v>264</v>
      </c>
      <c r="C6" s="91">
        <v>2</v>
      </c>
      <c r="D6" s="121">
        <v>0.004659800028906792</v>
      </c>
      <c r="E6" s="121">
        <v>2.161368002234975</v>
      </c>
      <c r="F6" s="91" t="s">
        <v>723</v>
      </c>
      <c r="G6" s="91" t="b">
        <v>0</v>
      </c>
      <c r="H6" s="91" t="b">
        <v>0</v>
      </c>
      <c r="I6" s="91" t="b">
        <v>0</v>
      </c>
      <c r="J6" s="91" t="b">
        <v>0</v>
      </c>
      <c r="K6" s="91" t="b">
        <v>0</v>
      </c>
      <c r="L6" s="91" t="b">
        <v>0</v>
      </c>
    </row>
    <row r="7" spans="1:12" ht="15">
      <c r="A7" s="87" t="s">
        <v>264</v>
      </c>
      <c r="B7" s="91" t="s">
        <v>263</v>
      </c>
      <c r="C7" s="91">
        <v>2</v>
      </c>
      <c r="D7" s="121">
        <v>0.004659800028906792</v>
      </c>
      <c r="E7" s="121">
        <v>2.161368002234975</v>
      </c>
      <c r="F7" s="91" t="s">
        <v>723</v>
      </c>
      <c r="G7" s="91" t="b">
        <v>0</v>
      </c>
      <c r="H7" s="91" t="b">
        <v>0</v>
      </c>
      <c r="I7" s="91" t="b">
        <v>0</v>
      </c>
      <c r="J7" s="91" t="b">
        <v>0</v>
      </c>
      <c r="K7" s="91" t="b">
        <v>0</v>
      </c>
      <c r="L7" s="91" t="b">
        <v>0</v>
      </c>
    </row>
    <row r="8" spans="1:12" ht="15">
      <c r="A8" s="87" t="s">
        <v>263</v>
      </c>
      <c r="B8" s="91" t="s">
        <v>262</v>
      </c>
      <c r="C8" s="91">
        <v>2</v>
      </c>
      <c r="D8" s="121">
        <v>0.004659800028906792</v>
      </c>
      <c r="E8" s="121">
        <v>2.161368002234975</v>
      </c>
      <c r="F8" s="91" t="s">
        <v>723</v>
      </c>
      <c r="G8" s="91" t="b">
        <v>0</v>
      </c>
      <c r="H8" s="91" t="b">
        <v>0</v>
      </c>
      <c r="I8" s="91" t="b">
        <v>0</v>
      </c>
      <c r="J8" s="91" t="b">
        <v>0</v>
      </c>
      <c r="K8" s="91" t="b">
        <v>0</v>
      </c>
      <c r="L8" s="91" t="b">
        <v>0</v>
      </c>
    </row>
    <row r="9" spans="1:12" ht="15">
      <c r="A9" s="87" t="s">
        <v>262</v>
      </c>
      <c r="B9" s="91" t="s">
        <v>261</v>
      </c>
      <c r="C9" s="91">
        <v>2</v>
      </c>
      <c r="D9" s="121">
        <v>0.004659800028906792</v>
      </c>
      <c r="E9" s="121">
        <v>2.161368002234975</v>
      </c>
      <c r="F9" s="91" t="s">
        <v>723</v>
      </c>
      <c r="G9" s="91" t="b">
        <v>0</v>
      </c>
      <c r="H9" s="91" t="b">
        <v>0</v>
      </c>
      <c r="I9" s="91" t="b">
        <v>0</v>
      </c>
      <c r="J9" s="91" t="b">
        <v>0</v>
      </c>
      <c r="K9" s="91" t="b">
        <v>0</v>
      </c>
      <c r="L9" s="91" t="b">
        <v>0</v>
      </c>
    </row>
    <row r="10" spans="1:12" ht="15">
      <c r="A10" s="87" t="s">
        <v>261</v>
      </c>
      <c r="B10" s="91" t="s">
        <v>260</v>
      </c>
      <c r="C10" s="91">
        <v>2</v>
      </c>
      <c r="D10" s="121">
        <v>0.004659800028906792</v>
      </c>
      <c r="E10" s="121">
        <v>2.161368002234975</v>
      </c>
      <c r="F10" s="91" t="s">
        <v>723</v>
      </c>
      <c r="G10" s="91" t="b">
        <v>0</v>
      </c>
      <c r="H10" s="91" t="b">
        <v>0</v>
      </c>
      <c r="I10" s="91" t="b">
        <v>0</v>
      </c>
      <c r="J10" s="91" t="b">
        <v>0</v>
      </c>
      <c r="K10" s="91" t="b">
        <v>0</v>
      </c>
      <c r="L10" s="91" t="b">
        <v>0</v>
      </c>
    </row>
    <row r="11" spans="1:12" ht="15">
      <c r="A11" s="87" t="s">
        <v>260</v>
      </c>
      <c r="B11" s="91" t="s">
        <v>259</v>
      </c>
      <c r="C11" s="91">
        <v>2</v>
      </c>
      <c r="D11" s="121">
        <v>0.004659800028906792</v>
      </c>
      <c r="E11" s="121">
        <v>2.161368002234975</v>
      </c>
      <c r="F11" s="91" t="s">
        <v>723</v>
      </c>
      <c r="G11" s="91" t="b">
        <v>0</v>
      </c>
      <c r="H11" s="91" t="b">
        <v>0</v>
      </c>
      <c r="I11" s="91" t="b">
        <v>0</v>
      </c>
      <c r="J11" s="91" t="b">
        <v>0</v>
      </c>
      <c r="K11" s="91" t="b">
        <v>0</v>
      </c>
      <c r="L11" s="91" t="b">
        <v>0</v>
      </c>
    </row>
    <row r="12" spans="1:12" ht="15">
      <c r="A12" s="87" t="s">
        <v>259</v>
      </c>
      <c r="B12" s="91" t="s">
        <v>258</v>
      </c>
      <c r="C12" s="91">
        <v>2</v>
      </c>
      <c r="D12" s="121">
        <v>0.004659800028906792</v>
      </c>
      <c r="E12" s="121">
        <v>2.161368002234975</v>
      </c>
      <c r="F12" s="91" t="s">
        <v>723</v>
      </c>
      <c r="G12" s="91" t="b">
        <v>0</v>
      </c>
      <c r="H12" s="91" t="b">
        <v>0</v>
      </c>
      <c r="I12" s="91" t="b">
        <v>0</v>
      </c>
      <c r="J12" s="91" t="b">
        <v>0</v>
      </c>
      <c r="K12" s="91" t="b">
        <v>0</v>
      </c>
      <c r="L12" s="91" t="b">
        <v>0</v>
      </c>
    </row>
    <row r="13" spans="1:12" ht="15">
      <c r="A13" s="87" t="s">
        <v>258</v>
      </c>
      <c r="B13" s="91" t="s">
        <v>257</v>
      </c>
      <c r="C13" s="91">
        <v>2</v>
      </c>
      <c r="D13" s="121">
        <v>0.004659800028906792</v>
      </c>
      <c r="E13" s="121">
        <v>2.161368002234975</v>
      </c>
      <c r="F13" s="91" t="s">
        <v>723</v>
      </c>
      <c r="G13" s="91" t="b">
        <v>0</v>
      </c>
      <c r="H13" s="91" t="b">
        <v>0</v>
      </c>
      <c r="I13" s="91" t="b">
        <v>0</v>
      </c>
      <c r="J13" s="91" t="b">
        <v>0</v>
      </c>
      <c r="K13" s="91" t="b">
        <v>0</v>
      </c>
      <c r="L13" s="91" t="b">
        <v>0</v>
      </c>
    </row>
    <row r="14" spans="1:12" ht="15">
      <c r="A14" s="87" t="s">
        <v>257</v>
      </c>
      <c r="B14" s="91" t="s">
        <v>256</v>
      </c>
      <c r="C14" s="91">
        <v>2</v>
      </c>
      <c r="D14" s="121">
        <v>0.004659800028906792</v>
      </c>
      <c r="E14" s="121">
        <v>2.161368002234975</v>
      </c>
      <c r="F14" s="91" t="s">
        <v>723</v>
      </c>
      <c r="G14" s="91" t="b">
        <v>0</v>
      </c>
      <c r="H14" s="91" t="b">
        <v>0</v>
      </c>
      <c r="I14" s="91" t="b">
        <v>0</v>
      </c>
      <c r="J14" s="91" t="b">
        <v>0</v>
      </c>
      <c r="K14" s="91" t="b">
        <v>0</v>
      </c>
      <c r="L14" s="91" t="b">
        <v>0</v>
      </c>
    </row>
    <row r="15" spans="1:12" ht="15">
      <c r="A15" s="87" t="s">
        <v>256</v>
      </c>
      <c r="B15" s="91" t="s">
        <v>255</v>
      </c>
      <c r="C15" s="91">
        <v>2</v>
      </c>
      <c r="D15" s="121">
        <v>0.004659800028906792</v>
      </c>
      <c r="E15" s="121">
        <v>2.161368002234975</v>
      </c>
      <c r="F15" s="91" t="s">
        <v>723</v>
      </c>
      <c r="G15" s="91" t="b">
        <v>0</v>
      </c>
      <c r="H15" s="91" t="b">
        <v>0</v>
      </c>
      <c r="I15" s="91" t="b">
        <v>0</v>
      </c>
      <c r="J15" s="91" t="b">
        <v>0</v>
      </c>
      <c r="K15" s="91" t="b">
        <v>0</v>
      </c>
      <c r="L15" s="91" t="b">
        <v>0</v>
      </c>
    </row>
    <row r="16" spans="1:12" ht="15">
      <c r="A16" s="87" t="s">
        <v>255</v>
      </c>
      <c r="B16" s="91" t="s">
        <v>254</v>
      </c>
      <c r="C16" s="91">
        <v>2</v>
      </c>
      <c r="D16" s="121">
        <v>0.004659800028906792</v>
      </c>
      <c r="E16" s="121">
        <v>2.161368002234975</v>
      </c>
      <c r="F16" s="91" t="s">
        <v>723</v>
      </c>
      <c r="G16" s="91" t="b">
        <v>0</v>
      </c>
      <c r="H16" s="91" t="b">
        <v>0</v>
      </c>
      <c r="I16" s="91" t="b">
        <v>0</v>
      </c>
      <c r="J16" s="91" t="b">
        <v>0</v>
      </c>
      <c r="K16" s="91" t="b">
        <v>0</v>
      </c>
      <c r="L16" s="91" t="b">
        <v>0</v>
      </c>
    </row>
    <row r="17" spans="1:12" ht="15">
      <c r="A17" s="87" t="s">
        <v>254</v>
      </c>
      <c r="B17" s="91" t="s">
        <v>253</v>
      </c>
      <c r="C17" s="91">
        <v>2</v>
      </c>
      <c r="D17" s="121">
        <v>0.004659800028906792</v>
      </c>
      <c r="E17" s="121">
        <v>2.161368002234975</v>
      </c>
      <c r="F17" s="91" t="s">
        <v>723</v>
      </c>
      <c r="G17" s="91" t="b">
        <v>0</v>
      </c>
      <c r="H17" s="91" t="b">
        <v>0</v>
      </c>
      <c r="I17" s="91" t="b">
        <v>0</v>
      </c>
      <c r="J17" s="91" t="b">
        <v>0</v>
      </c>
      <c r="K17" s="91" t="b">
        <v>0</v>
      </c>
      <c r="L17" s="91" t="b">
        <v>0</v>
      </c>
    </row>
    <row r="18" spans="1:12" ht="15">
      <c r="A18" s="87" t="s">
        <v>253</v>
      </c>
      <c r="B18" s="91" t="s">
        <v>252</v>
      </c>
      <c r="C18" s="91">
        <v>2</v>
      </c>
      <c r="D18" s="121">
        <v>0.004659800028906792</v>
      </c>
      <c r="E18" s="121">
        <v>2.161368002234975</v>
      </c>
      <c r="F18" s="91" t="s">
        <v>723</v>
      </c>
      <c r="G18" s="91" t="b">
        <v>0</v>
      </c>
      <c r="H18" s="91" t="b">
        <v>0</v>
      </c>
      <c r="I18" s="91" t="b">
        <v>0</v>
      </c>
      <c r="J18" s="91" t="b">
        <v>0</v>
      </c>
      <c r="K18" s="91" t="b">
        <v>0</v>
      </c>
      <c r="L18" s="91" t="b">
        <v>0</v>
      </c>
    </row>
    <row r="19" spans="1:12" ht="15">
      <c r="A19" s="87" t="s">
        <v>252</v>
      </c>
      <c r="B19" s="91" t="s">
        <v>251</v>
      </c>
      <c r="C19" s="91">
        <v>2</v>
      </c>
      <c r="D19" s="121">
        <v>0.004659800028906792</v>
      </c>
      <c r="E19" s="121">
        <v>2.161368002234975</v>
      </c>
      <c r="F19" s="91" t="s">
        <v>723</v>
      </c>
      <c r="G19" s="91" t="b">
        <v>0</v>
      </c>
      <c r="H19" s="91" t="b">
        <v>0</v>
      </c>
      <c r="I19" s="91" t="b">
        <v>0</v>
      </c>
      <c r="J19" s="91" t="b">
        <v>0</v>
      </c>
      <c r="K19" s="91" t="b">
        <v>0</v>
      </c>
      <c r="L19" s="91" t="b">
        <v>0</v>
      </c>
    </row>
    <row r="20" spans="1:12" ht="15">
      <c r="A20" s="87" t="s">
        <v>251</v>
      </c>
      <c r="B20" s="91" t="s">
        <v>250</v>
      </c>
      <c r="C20" s="91">
        <v>2</v>
      </c>
      <c r="D20" s="121">
        <v>0.004659800028906792</v>
      </c>
      <c r="E20" s="121">
        <v>2.161368002234975</v>
      </c>
      <c r="F20" s="91" t="s">
        <v>723</v>
      </c>
      <c r="G20" s="91" t="b">
        <v>0</v>
      </c>
      <c r="H20" s="91" t="b">
        <v>0</v>
      </c>
      <c r="I20" s="91" t="b">
        <v>0</v>
      </c>
      <c r="J20" s="91" t="b">
        <v>0</v>
      </c>
      <c r="K20" s="91" t="b">
        <v>0</v>
      </c>
      <c r="L20" s="91" t="b">
        <v>0</v>
      </c>
    </row>
    <row r="21" spans="1:12" ht="15">
      <c r="A21" s="87" t="s">
        <v>250</v>
      </c>
      <c r="B21" s="91" t="s">
        <v>249</v>
      </c>
      <c r="C21" s="91">
        <v>2</v>
      </c>
      <c r="D21" s="121">
        <v>0.004659800028906792</v>
      </c>
      <c r="E21" s="121">
        <v>2.161368002234975</v>
      </c>
      <c r="F21" s="91" t="s">
        <v>723</v>
      </c>
      <c r="G21" s="91" t="b">
        <v>0</v>
      </c>
      <c r="H21" s="91" t="b">
        <v>0</v>
      </c>
      <c r="I21" s="91" t="b">
        <v>0</v>
      </c>
      <c r="J21" s="91" t="b">
        <v>0</v>
      </c>
      <c r="K21" s="91" t="b">
        <v>0</v>
      </c>
      <c r="L21" s="91" t="b">
        <v>0</v>
      </c>
    </row>
    <row r="22" spans="1:12" ht="15">
      <c r="A22" s="87" t="s">
        <v>249</v>
      </c>
      <c r="B22" s="91" t="s">
        <v>248</v>
      </c>
      <c r="C22" s="91">
        <v>2</v>
      </c>
      <c r="D22" s="121">
        <v>0.004659800028906792</v>
      </c>
      <c r="E22" s="121">
        <v>2.161368002234975</v>
      </c>
      <c r="F22" s="91" t="s">
        <v>723</v>
      </c>
      <c r="G22" s="91" t="b">
        <v>0</v>
      </c>
      <c r="H22" s="91" t="b">
        <v>0</v>
      </c>
      <c r="I22" s="91" t="b">
        <v>0</v>
      </c>
      <c r="J22" s="91" t="b">
        <v>0</v>
      </c>
      <c r="K22" s="91" t="b">
        <v>0</v>
      </c>
      <c r="L22" s="91" t="b">
        <v>0</v>
      </c>
    </row>
    <row r="23" spans="1:12" ht="15">
      <c r="A23" s="87" t="s">
        <v>248</v>
      </c>
      <c r="B23" s="91" t="s">
        <v>247</v>
      </c>
      <c r="C23" s="91">
        <v>2</v>
      </c>
      <c r="D23" s="121">
        <v>0.004659800028906792</v>
      </c>
      <c r="E23" s="121">
        <v>2.161368002234975</v>
      </c>
      <c r="F23" s="91" t="s">
        <v>723</v>
      </c>
      <c r="G23" s="91" t="b">
        <v>0</v>
      </c>
      <c r="H23" s="91" t="b">
        <v>0</v>
      </c>
      <c r="I23" s="91" t="b">
        <v>0</v>
      </c>
      <c r="J23" s="91" t="b">
        <v>0</v>
      </c>
      <c r="K23" s="91" t="b">
        <v>0</v>
      </c>
      <c r="L23" s="91" t="b">
        <v>0</v>
      </c>
    </row>
    <row r="24" spans="1:12" ht="15">
      <c r="A24" s="87" t="s">
        <v>247</v>
      </c>
      <c r="B24" s="91" t="s">
        <v>238</v>
      </c>
      <c r="C24" s="91">
        <v>2</v>
      </c>
      <c r="D24" s="121">
        <v>0.004659800028906792</v>
      </c>
      <c r="E24" s="121">
        <v>2.161368002234975</v>
      </c>
      <c r="F24" s="91" t="s">
        <v>723</v>
      </c>
      <c r="G24" s="91" t="b">
        <v>0</v>
      </c>
      <c r="H24" s="91" t="b">
        <v>0</v>
      </c>
      <c r="I24" s="91" t="b">
        <v>0</v>
      </c>
      <c r="J24" s="91" t="b">
        <v>0</v>
      </c>
      <c r="K24" s="91" t="b">
        <v>0</v>
      </c>
      <c r="L24" s="91" t="b">
        <v>0</v>
      </c>
    </row>
    <row r="25" spans="1:12" ht="15">
      <c r="A25" s="87" t="s">
        <v>238</v>
      </c>
      <c r="B25" s="91" t="s">
        <v>246</v>
      </c>
      <c r="C25" s="91">
        <v>2</v>
      </c>
      <c r="D25" s="121">
        <v>0.004659800028906792</v>
      </c>
      <c r="E25" s="121">
        <v>2.161368002234975</v>
      </c>
      <c r="F25" s="91" t="s">
        <v>723</v>
      </c>
      <c r="G25" s="91" t="b">
        <v>0</v>
      </c>
      <c r="H25" s="91" t="b">
        <v>0</v>
      </c>
      <c r="I25" s="91" t="b">
        <v>0</v>
      </c>
      <c r="J25" s="91" t="b">
        <v>0</v>
      </c>
      <c r="K25" s="91" t="b">
        <v>0</v>
      </c>
      <c r="L25" s="91" t="b">
        <v>0</v>
      </c>
    </row>
    <row r="26" spans="1:12" ht="15">
      <c r="A26" s="87" t="s">
        <v>246</v>
      </c>
      <c r="B26" s="91" t="s">
        <v>245</v>
      </c>
      <c r="C26" s="91">
        <v>2</v>
      </c>
      <c r="D26" s="121">
        <v>0.004659800028906792</v>
      </c>
      <c r="E26" s="121">
        <v>2.161368002234975</v>
      </c>
      <c r="F26" s="91" t="s">
        <v>723</v>
      </c>
      <c r="G26" s="91" t="b">
        <v>0</v>
      </c>
      <c r="H26" s="91" t="b">
        <v>0</v>
      </c>
      <c r="I26" s="91" t="b">
        <v>0</v>
      </c>
      <c r="J26" s="91" t="b">
        <v>0</v>
      </c>
      <c r="K26" s="91" t="b">
        <v>0</v>
      </c>
      <c r="L26" s="91" t="b">
        <v>0</v>
      </c>
    </row>
    <row r="27" spans="1:12" ht="15">
      <c r="A27" s="87" t="s">
        <v>245</v>
      </c>
      <c r="B27" s="91" t="s">
        <v>244</v>
      </c>
      <c r="C27" s="91">
        <v>2</v>
      </c>
      <c r="D27" s="121">
        <v>0.004659800028906792</v>
      </c>
      <c r="E27" s="121">
        <v>2.161368002234975</v>
      </c>
      <c r="F27" s="91" t="s">
        <v>723</v>
      </c>
      <c r="G27" s="91" t="b">
        <v>0</v>
      </c>
      <c r="H27" s="91" t="b">
        <v>0</v>
      </c>
      <c r="I27" s="91" t="b">
        <v>0</v>
      </c>
      <c r="J27" s="91" t="b">
        <v>0</v>
      </c>
      <c r="K27" s="91" t="b">
        <v>0</v>
      </c>
      <c r="L27" s="91" t="b">
        <v>0</v>
      </c>
    </row>
    <row r="28" spans="1:12" ht="15">
      <c r="A28" s="87" t="s">
        <v>244</v>
      </c>
      <c r="B28" s="91" t="s">
        <v>688</v>
      </c>
      <c r="C28" s="91">
        <v>2</v>
      </c>
      <c r="D28" s="121">
        <v>0.004659800028906792</v>
      </c>
      <c r="E28" s="121">
        <v>2.161368002234975</v>
      </c>
      <c r="F28" s="91" t="s">
        <v>723</v>
      </c>
      <c r="G28" s="91" t="b">
        <v>0</v>
      </c>
      <c r="H28" s="91" t="b">
        <v>0</v>
      </c>
      <c r="I28" s="91" t="b">
        <v>0</v>
      </c>
      <c r="J28" s="91" t="b">
        <v>0</v>
      </c>
      <c r="K28" s="91" t="b">
        <v>0</v>
      </c>
      <c r="L28" s="91" t="b">
        <v>0</v>
      </c>
    </row>
    <row r="29" spans="1:12" ht="15">
      <c r="A29" s="87" t="s">
        <v>688</v>
      </c>
      <c r="B29" s="91" t="s">
        <v>689</v>
      </c>
      <c r="C29" s="91">
        <v>2</v>
      </c>
      <c r="D29" s="121">
        <v>0.004659800028906792</v>
      </c>
      <c r="E29" s="121">
        <v>2.161368002234975</v>
      </c>
      <c r="F29" s="91" t="s">
        <v>723</v>
      </c>
      <c r="G29" s="91" t="b">
        <v>0</v>
      </c>
      <c r="H29" s="91" t="b">
        <v>0</v>
      </c>
      <c r="I29" s="91" t="b">
        <v>0</v>
      </c>
      <c r="J29" s="91" t="b">
        <v>0</v>
      </c>
      <c r="K29" s="91" t="b">
        <v>0</v>
      </c>
      <c r="L29" s="91" t="b">
        <v>0</v>
      </c>
    </row>
    <row r="30" spans="1:12" ht="15">
      <c r="A30" s="87" t="s">
        <v>689</v>
      </c>
      <c r="B30" s="91" t="s">
        <v>690</v>
      </c>
      <c r="C30" s="91">
        <v>2</v>
      </c>
      <c r="D30" s="121">
        <v>0.004659800028906792</v>
      </c>
      <c r="E30" s="121">
        <v>2.161368002234975</v>
      </c>
      <c r="F30" s="91" t="s">
        <v>723</v>
      </c>
      <c r="G30" s="91" t="b">
        <v>0</v>
      </c>
      <c r="H30" s="91" t="b">
        <v>0</v>
      </c>
      <c r="I30" s="91" t="b">
        <v>0</v>
      </c>
      <c r="J30" s="91" t="b">
        <v>0</v>
      </c>
      <c r="K30" s="91" t="b">
        <v>0</v>
      </c>
      <c r="L30" s="91" t="b">
        <v>0</v>
      </c>
    </row>
    <row r="31" spans="1:12" ht="15">
      <c r="A31" s="87" t="s">
        <v>690</v>
      </c>
      <c r="B31" s="91" t="s">
        <v>584</v>
      </c>
      <c r="C31" s="91">
        <v>2</v>
      </c>
      <c r="D31" s="121">
        <v>0.004659800028906792</v>
      </c>
      <c r="E31" s="121">
        <v>1.8603380065709938</v>
      </c>
      <c r="F31" s="91" t="s">
        <v>723</v>
      </c>
      <c r="G31" s="91" t="b">
        <v>0</v>
      </c>
      <c r="H31" s="91" t="b">
        <v>0</v>
      </c>
      <c r="I31" s="91" t="b">
        <v>0</v>
      </c>
      <c r="J31" s="91" t="b">
        <v>0</v>
      </c>
      <c r="K31" s="91" t="b">
        <v>0</v>
      </c>
      <c r="L31" s="91" t="b">
        <v>0</v>
      </c>
    </row>
    <row r="32" spans="1:12" ht="15">
      <c r="A32" s="87" t="s">
        <v>584</v>
      </c>
      <c r="B32" s="91" t="s">
        <v>583</v>
      </c>
      <c r="C32" s="91">
        <v>2</v>
      </c>
      <c r="D32" s="121">
        <v>0.004659800028906792</v>
      </c>
      <c r="E32" s="121">
        <v>1.3832167518513312</v>
      </c>
      <c r="F32" s="91" t="s">
        <v>723</v>
      </c>
      <c r="G32" s="91" t="b">
        <v>0</v>
      </c>
      <c r="H32" s="91" t="b">
        <v>0</v>
      </c>
      <c r="I32" s="91" t="b">
        <v>0</v>
      </c>
      <c r="J32" s="91" t="b">
        <v>0</v>
      </c>
      <c r="K32" s="91" t="b">
        <v>0</v>
      </c>
      <c r="L32" s="91" t="b">
        <v>0</v>
      </c>
    </row>
    <row r="33" spans="1:12" ht="15">
      <c r="A33" s="87" t="s">
        <v>583</v>
      </c>
      <c r="B33" s="91" t="s">
        <v>585</v>
      </c>
      <c r="C33" s="91">
        <v>2</v>
      </c>
      <c r="D33" s="121">
        <v>0.004659800028906792</v>
      </c>
      <c r="E33" s="121">
        <v>1.3832167518513312</v>
      </c>
      <c r="F33" s="91" t="s">
        <v>723</v>
      </c>
      <c r="G33" s="91" t="b">
        <v>0</v>
      </c>
      <c r="H33" s="91" t="b">
        <v>0</v>
      </c>
      <c r="I33" s="91" t="b">
        <v>0</v>
      </c>
      <c r="J33" s="91" t="b">
        <v>0</v>
      </c>
      <c r="K33" s="91" t="b">
        <v>0</v>
      </c>
      <c r="L33" s="91" t="b">
        <v>0</v>
      </c>
    </row>
    <row r="34" spans="1:12" ht="15">
      <c r="A34" s="87" t="s">
        <v>585</v>
      </c>
      <c r="B34" s="91" t="s">
        <v>583</v>
      </c>
      <c r="C34" s="91">
        <v>2</v>
      </c>
      <c r="D34" s="121">
        <v>0.004659800028906792</v>
      </c>
      <c r="E34" s="121">
        <v>1.3832167518513312</v>
      </c>
      <c r="F34" s="91" t="s">
        <v>723</v>
      </c>
      <c r="G34" s="91" t="b">
        <v>0</v>
      </c>
      <c r="H34" s="91" t="b">
        <v>0</v>
      </c>
      <c r="I34" s="91" t="b">
        <v>0</v>
      </c>
      <c r="J34" s="91" t="b">
        <v>0</v>
      </c>
      <c r="K34" s="91" t="b">
        <v>0</v>
      </c>
      <c r="L34" s="91" t="b">
        <v>0</v>
      </c>
    </row>
    <row r="35" spans="1:12" ht="15">
      <c r="A35" s="87" t="s">
        <v>583</v>
      </c>
      <c r="B35" s="91" t="s">
        <v>586</v>
      </c>
      <c r="C35" s="91">
        <v>2</v>
      </c>
      <c r="D35" s="121">
        <v>0.004659800028906792</v>
      </c>
      <c r="E35" s="121">
        <v>1.3832167518513312</v>
      </c>
      <c r="F35" s="91" t="s">
        <v>723</v>
      </c>
      <c r="G35" s="91" t="b">
        <v>0</v>
      </c>
      <c r="H35" s="91" t="b">
        <v>0</v>
      </c>
      <c r="I35" s="91" t="b">
        <v>0</v>
      </c>
      <c r="J35" s="91" t="b">
        <v>0</v>
      </c>
      <c r="K35" s="91" t="b">
        <v>0</v>
      </c>
      <c r="L35" s="91" t="b">
        <v>0</v>
      </c>
    </row>
    <row r="36" spans="1:12" ht="15">
      <c r="A36" s="87" t="s">
        <v>586</v>
      </c>
      <c r="B36" s="91" t="s">
        <v>691</v>
      </c>
      <c r="C36" s="91">
        <v>2</v>
      </c>
      <c r="D36" s="121">
        <v>0.004659800028906792</v>
      </c>
      <c r="E36" s="121">
        <v>1.8603380065709938</v>
      </c>
      <c r="F36" s="91" t="s">
        <v>723</v>
      </c>
      <c r="G36" s="91" t="b">
        <v>0</v>
      </c>
      <c r="H36" s="91" t="b">
        <v>0</v>
      </c>
      <c r="I36" s="91" t="b">
        <v>0</v>
      </c>
      <c r="J36" s="91" t="b">
        <v>0</v>
      </c>
      <c r="K36" s="91" t="b">
        <v>0</v>
      </c>
      <c r="L36" s="91" t="b">
        <v>0</v>
      </c>
    </row>
    <row r="37" spans="1:12" ht="15">
      <c r="A37" s="87" t="s">
        <v>691</v>
      </c>
      <c r="B37" s="91" t="s">
        <v>692</v>
      </c>
      <c r="C37" s="91">
        <v>2</v>
      </c>
      <c r="D37" s="121">
        <v>0.004659800028906792</v>
      </c>
      <c r="E37" s="121">
        <v>2.161368002234975</v>
      </c>
      <c r="F37" s="91" t="s">
        <v>723</v>
      </c>
      <c r="G37" s="91" t="b">
        <v>0</v>
      </c>
      <c r="H37" s="91" t="b">
        <v>0</v>
      </c>
      <c r="I37" s="91" t="b">
        <v>0</v>
      </c>
      <c r="J37" s="91" t="b">
        <v>0</v>
      </c>
      <c r="K37" s="91" t="b">
        <v>0</v>
      </c>
      <c r="L37" s="91" t="b">
        <v>0</v>
      </c>
    </row>
    <row r="38" spans="1:12" ht="15">
      <c r="A38" s="87" t="s">
        <v>692</v>
      </c>
      <c r="B38" s="91" t="s">
        <v>693</v>
      </c>
      <c r="C38" s="91">
        <v>2</v>
      </c>
      <c r="D38" s="121">
        <v>0.004659800028906792</v>
      </c>
      <c r="E38" s="121">
        <v>2.161368002234975</v>
      </c>
      <c r="F38" s="91" t="s">
        <v>723</v>
      </c>
      <c r="G38" s="91" t="b">
        <v>0</v>
      </c>
      <c r="H38" s="91" t="b">
        <v>0</v>
      </c>
      <c r="I38" s="91" t="b">
        <v>0</v>
      </c>
      <c r="J38" s="91" t="b">
        <v>0</v>
      </c>
      <c r="K38" s="91" t="b">
        <v>0</v>
      </c>
      <c r="L38" s="91" t="b">
        <v>0</v>
      </c>
    </row>
    <row r="39" spans="1:12" ht="15">
      <c r="A39" s="87" t="s">
        <v>693</v>
      </c>
      <c r="B39" s="91" t="s">
        <v>585</v>
      </c>
      <c r="C39" s="91">
        <v>2</v>
      </c>
      <c r="D39" s="121">
        <v>0.004659800028906792</v>
      </c>
      <c r="E39" s="121">
        <v>1.8603380065709938</v>
      </c>
      <c r="F39" s="91" t="s">
        <v>723</v>
      </c>
      <c r="G39" s="91" t="b">
        <v>0</v>
      </c>
      <c r="H39" s="91" t="b">
        <v>0</v>
      </c>
      <c r="I39" s="91" t="b">
        <v>0</v>
      </c>
      <c r="J39" s="91" t="b">
        <v>0</v>
      </c>
      <c r="K39" s="91" t="b">
        <v>0</v>
      </c>
      <c r="L39" s="91" t="b">
        <v>0</v>
      </c>
    </row>
    <row r="40" spans="1:12" ht="15">
      <c r="A40" s="87" t="s">
        <v>585</v>
      </c>
      <c r="B40" s="91" t="s">
        <v>694</v>
      </c>
      <c r="C40" s="91">
        <v>2</v>
      </c>
      <c r="D40" s="121">
        <v>0.004659800028906792</v>
      </c>
      <c r="E40" s="121">
        <v>1.8603380065709938</v>
      </c>
      <c r="F40" s="91" t="s">
        <v>723</v>
      </c>
      <c r="G40" s="91" t="b">
        <v>0</v>
      </c>
      <c r="H40" s="91" t="b">
        <v>0</v>
      </c>
      <c r="I40" s="91" t="b">
        <v>0</v>
      </c>
      <c r="J40" s="91" t="b">
        <v>0</v>
      </c>
      <c r="K40" s="91" t="b">
        <v>0</v>
      </c>
      <c r="L40" s="91" t="b">
        <v>0</v>
      </c>
    </row>
    <row r="41" spans="1:12" ht="15">
      <c r="A41" s="87" t="s">
        <v>694</v>
      </c>
      <c r="B41" s="91" t="s">
        <v>695</v>
      </c>
      <c r="C41" s="91">
        <v>2</v>
      </c>
      <c r="D41" s="121">
        <v>0.004659800028906792</v>
      </c>
      <c r="E41" s="121">
        <v>2.161368002234975</v>
      </c>
      <c r="F41" s="91" t="s">
        <v>723</v>
      </c>
      <c r="G41" s="91" t="b">
        <v>0</v>
      </c>
      <c r="H41" s="91" t="b">
        <v>0</v>
      </c>
      <c r="I41" s="91" t="b">
        <v>0</v>
      </c>
      <c r="J41" s="91" t="b">
        <v>0</v>
      </c>
      <c r="K41" s="91" t="b">
        <v>0</v>
      </c>
      <c r="L41" s="91" t="b">
        <v>0</v>
      </c>
    </row>
    <row r="42" spans="1:12" ht="15">
      <c r="A42" s="87" t="s">
        <v>695</v>
      </c>
      <c r="B42" s="91" t="s">
        <v>696</v>
      </c>
      <c r="C42" s="91">
        <v>2</v>
      </c>
      <c r="D42" s="121">
        <v>0.004659800028906792</v>
      </c>
      <c r="E42" s="121">
        <v>2.161368002234975</v>
      </c>
      <c r="F42" s="91" t="s">
        <v>723</v>
      </c>
      <c r="G42" s="91" t="b">
        <v>0</v>
      </c>
      <c r="H42" s="91" t="b">
        <v>0</v>
      </c>
      <c r="I42" s="91" t="b">
        <v>0</v>
      </c>
      <c r="J42" s="91" t="b">
        <v>0</v>
      </c>
      <c r="K42" s="91" t="b">
        <v>0</v>
      </c>
      <c r="L42" s="91" t="b">
        <v>0</v>
      </c>
    </row>
    <row r="43" spans="1:12" ht="15">
      <c r="A43" s="87" t="s">
        <v>696</v>
      </c>
      <c r="B43" s="91" t="s">
        <v>697</v>
      </c>
      <c r="C43" s="91">
        <v>2</v>
      </c>
      <c r="D43" s="121">
        <v>0.004659800028906792</v>
      </c>
      <c r="E43" s="121">
        <v>2.161368002234975</v>
      </c>
      <c r="F43" s="91" t="s">
        <v>723</v>
      </c>
      <c r="G43" s="91" t="b">
        <v>0</v>
      </c>
      <c r="H43" s="91" t="b">
        <v>0</v>
      </c>
      <c r="I43" s="91" t="b">
        <v>0</v>
      </c>
      <c r="J43" s="91" t="b">
        <v>0</v>
      </c>
      <c r="K43" s="91" t="b">
        <v>0</v>
      </c>
      <c r="L43" s="91" t="b">
        <v>0</v>
      </c>
    </row>
    <row r="44" spans="1:12" ht="15">
      <c r="A44" s="87" t="s">
        <v>697</v>
      </c>
      <c r="B44" s="91" t="s">
        <v>698</v>
      </c>
      <c r="C44" s="91">
        <v>2</v>
      </c>
      <c r="D44" s="121">
        <v>0.004659800028906792</v>
      </c>
      <c r="E44" s="121">
        <v>2.161368002234975</v>
      </c>
      <c r="F44" s="91" t="s">
        <v>723</v>
      </c>
      <c r="G44" s="91" t="b">
        <v>0</v>
      </c>
      <c r="H44" s="91" t="b">
        <v>0</v>
      </c>
      <c r="I44" s="91" t="b">
        <v>0</v>
      </c>
      <c r="J44" s="91" t="b">
        <v>0</v>
      </c>
      <c r="K44" s="91" t="b">
        <v>0</v>
      </c>
      <c r="L44" s="91" t="b">
        <v>0</v>
      </c>
    </row>
    <row r="45" spans="1:12" ht="15">
      <c r="A45" s="87" t="s">
        <v>698</v>
      </c>
      <c r="B45" s="91" t="s">
        <v>699</v>
      </c>
      <c r="C45" s="91">
        <v>2</v>
      </c>
      <c r="D45" s="121">
        <v>0.004659800028906792</v>
      </c>
      <c r="E45" s="121">
        <v>2.161368002234975</v>
      </c>
      <c r="F45" s="91" t="s">
        <v>723</v>
      </c>
      <c r="G45" s="91" t="b">
        <v>0</v>
      </c>
      <c r="H45" s="91" t="b">
        <v>0</v>
      </c>
      <c r="I45" s="91" t="b">
        <v>0</v>
      </c>
      <c r="J45" s="91" t="b">
        <v>0</v>
      </c>
      <c r="K45" s="91" t="b">
        <v>0</v>
      </c>
      <c r="L45" s="91" t="b">
        <v>0</v>
      </c>
    </row>
    <row r="46" spans="1:12" ht="15">
      <c r="A46" s="87" t="s">
        <v>699</v>
      </c>
      <c r="B46" s="91" t="s">
        <v>700</v>
      </c>
      <c r="C46" s="91">
        <v>2</v>
      </c>
      <c r="D46" s="121">
        <v>0.004659800028906792</v>
      </c>
      <c r="E46" s="121">
        <v>2.161368002234975</v>
      </c>
      <c r="F46" s="91" t="s">
        <v>723</v>
      </c>
      <c r="G46" s="91" t="b">
        <v>0</v>
      </c>
      <c r="H46" s="91" t="b">
        <v>0</v>
      </c>
      <c r="I46" s="91" t="b">
        <v>0</v>
      </c>
      <c r="J46" s="91" t="b">
        <v>0</v>
      </c>
      <c r="K46" s="91" t="b">
        <v>0</v>
      </c>
      <c r="L46" s="91" t="b">
        <v>0</v>
      </c>
    </row>
    <row r="47" spans="1:12" ht="15">
      <c r="A47" s="87" t="s">
        <v>700</v>
      </c>
      <c r="B47" s="91" t="s">
        <v>587</v>
      </c>
      <c r="C47" s="91">
        <v>2</v>
      </c>
      <c r="D47" s="121">
        <v>0.004659800028906792</v>
      </c>
      <c r="E47" s="121">
        <v>1.8603380065709938</v>
      </c>
      <c r="F47" s="91" t="s">
        <v>723</v>
      </c>
      <c r="G47" s="91" t="b">
        <v>0</v>
      </c>
      <c r="H47" s="91" t="b">
        <v>0</v>
      </c>
      <c r="I47" s="91" t="b">
        <v>0</v>
      </c>
      <c r="J47" s="91" t="b">
        <v>0</v>
      </c>
      <c r="K47" s="91" t="b">
        <v>0</v>
      </c>
      <c r="L47" s="91" t="b">
        <v>0</v>
      </c>
    </row>
    <row r="48" spans="1:12" ht="15">
      <c r="A48" s="87" t="s">
        <v>587</v>
      </c>
      <c r="B48" s="91" t="s">
        <v>587</v>
      </c>
      <c r="C48" s="91">
        <v>2</v>
      </c>
      <c r="D48" s="121">
        <v>0.004659800028906792</v>
      </c>
      <c r="E48" s="121">
        <v>1.5593080109070125</v>
      </c>
      <c r="F48" s="91" t="s">
        <v>723</v>
      </c>
      <c r="G48" s="91" t="b">
        <v>0</v>
      </c>
      <c r="H48" s="91" t="b">
        <v>0</v>
      </c>
      <c r="I48" s="91" t="b">
        <v>0</v>
      </c>
      <c r="J48" s="91" t="b">
        <v>0</v>
      </c>
      <c r="K48" s="91" t="b">
        <v>0</v>
      </c>
      <c r="L48" s="91" t="b">
        <v>0</v>
      </c>
    </row>
    <row r="49" spans="1:12" ht="15">
      <c r="A49" s="87" t="s">
        <v>587</v>
      </c>
      <c r="B49" s="91" t="s">
        <v>701</v>
      </c>
      <c r="C49" s="91">
        <v>2</v>
      </c>
      <c r="D49" s="121">
        <v>0.004659800028906792</v>
      </c>
      <c r="E49" s="121">
        <v>1.8603380065709938</v>
      </c>
      <c r="F49" s="91" t="s">
        <v>723</v>
      </c>
      <c r="G49" s="91" t="b">
        <v>0</v>
      </c>
      <c r="H49" s="91" t="b">
        <v>0</v>
      </c>
      <c r="I49" s="91" t="b">
        <v>0</v>
      </c>
      <c r="J49" s="91" t="b">
        <v>0</v>
      </c>
      <c r="K49" s="91" t="b">
        <v>0</v>
      </c>
      <c r="L49" s="91" t="b">
        <v>0</v>
      </c>
    </row>
    <row r="50" spans="1:12" ht="15">
      <c r="A50" s="87" t="s">
        <v>701</v>
      </c>
      <c r="B50" s="91" t="s">
        <v>702</v>
      </c>
      <c r="C50" s="91">
        <v>2</v>
      </c>
      <c r="D50" s="121">
        <v>0.004659800028906792</v>
      </c>
      <c r="E50" s="121">
        <v>2.161368002234975</v>
      </c>
      <c r="F50" s="91" t="s">
        <v>723</v>
      </c>
      <c r="G50" s="91" t="b">
        <v>0</v>
      </c>
      <c r="H50" s="91" t="b">
        <v>0</v>
      </c>
      <c r="I50" s="91" t="b">
        <v>0</v>
      </c>
      <c r="J50" s="91" t="b">
        <v>0</v>
      </c>
      <c r="K50" s="91" t="b">
        <v>0</v>
      </c>
      <c r="L50" s="91" t="b">
        <v>0</v>
      </c>
    </row>
    <row r="51" spans="1:12" ht="15">
      <c r="A51" s="87" t="s">
        <v>702</v>
      </c>
      <c r="B51" s="91" t="s">
        <v>684</v>
      </c>
      <c r="C51" s="91">
        <v>2</v>
      </c>
      <c r="D51" s="121">
        <v>0.004659800028906792</v>
      </c>
      <c r="E51" s="121">
        <v>1.9852767431792937</v>
      </c>
      <c r="F51" s="91" t="s">
        <v>723</v>
      </c>
      <c r="G51" s="91" t="b">
        <v>0</v>
      </c>
      <c r="H51" s="91" t="b">
        <v>0</v>
      </c>
      <c r="I51" s="91" t="b">
        <v>0</v>
      </c>
      <c r="J51" s="91" t="b">
        <v>0</v>
      </c>
      <c r="K51" s="91" t="b">
        <v>0</v>
      </c>
      <c r="L51" s="91" t="b">
        <v>0</v>
      </c>
    </row>
    <row r="52" spans="1:12" ht="15">
      <c r="A52" s="87" t="s">
        <v>684</v>
      </c>
      <c r="B52" s="91" t="s">
        <v>582</v>
      </c>
      <c r="C52" s="91">
        <v>2</v>
      </c>
      <c r="D52" s="121">
        <v>0.004659800028906792</v>
      </c>
      <c r="E52" s="121">
        <v>1.1102154797875936</v>
      </c>
      <c r="F52" s="91" t="s">
        <v>723</v>
      </c>
      <c r="G52" s="91" t="b">
        <v>0</v>
      </c>
      <c r="H52" s="91" t="b">
        <v>0</v>
      </c>
      <c r="I52" s="91" t="b">
        <v>0</v>
      </c>
      <c r="J52" s="91" t="b">
        <v>0</v>
      </c>
      <c r="K52" s="91" t="b">
        <v>0</v>
      </c>
      <c r="L52" s="91" t="b">
        <v>0</v>
      </c>
    </row>
    <row r="53" spans="1:12" ht="15">
      <c r="A53" s="87" t="s">
        <v>582</v>
      </c>
      <c r="B53" s="91" t="s">
        <v>703</v>
      </c>
      <c r="C53" s="91">
        <v>2</v>
      </c>
      <c r="D53" s="121">
        <v>0.004659800028906792</v>
      </c>
      <c r="E53" s="121">
        <v>1.3162699622207181</v>
      </c>
      <c r="F53" s="91" t="s">
        <v>723</v>
      </c>
      <c r="G53" s="91" t="b">
        <v>0</v>
      </c>
      <c r="H53" s="91" t="b">
        <v>0</v>
      </c>
      <c r="I53" s="91" t="b">
        <v>0</v>
      </c>
      <c r="J53" s="91" t="b">
        <v>0</v>
      </c>
      <c r="K53" s="91" t="b">
        <v>0</v>
      </c>
      <c r="L53" s="91" t="b">
        <v>0</v>
      </c>
    </row>
    <row r="54" spans="1:12" ht="15">
      <c r="A54" s="87" t="s">
        <v>703</v>
      </c>
      <c r="B54" s="91" t="s">
        <v>582</v>
      </c>
      <c r="C54" s="91">
        <v>2</v>
      </c>
      <c r="D54" s="121">
        <v>0.004659800028906792</v>
      </c>
      <c r="E54" s="121">
        <v>1.2863067388432747</v>
      </c>
      <c r="F54" s="91" t="s">
        <v>723</v>
      </c>
      <c r="G54" s="91" t="b">
        <v>0</v>
      </c>
      <c r="H54" s="91" t="b">
        <v>0</v>
      </c>
      <c r="I54" s="91" t="b">
        <v>0</v>
      </c>
      <c r="J54" s="91" t="b">
        <v>0</v>
      </c>
      <c r="K54" s="91" t="b">
        <v>0</v>
      </c>
      <c r="L54" s="91" t="b">
        <v>0</v>
      </c>
    </row>
    <row r="55" spans="1:12" ht="15">
      <c r="A55" s="87" t="s">
        <v>582</v>
      </c>
      <c r="B55" s="91" t="s">
        <v>704</v>
      </c>
      <c r="C55" s="91">
        <v>2</v>
      </c>
      <c r="D55" s="121">
        <v>0.004659800028906792</v>
      </c>
      <c r="E55" s="121">
        <v>1.3162699622207181</v>
      </c>
      <c r="F55" s="91" t="s">
        <v>723</v>
      </c>
      <c r="G55" s="91" t="b">
        <v>0</v>
      </c>
      <c r="H55" s="91" t="b">
        <v>0</v>
      </c>
      <c r="I55" s="91" t="b">
        <v>0</v>
      </c>
      <c r="J55" s="91" t="b">
        <v>0</v>
      </c>
      <c r="K55" s="91" t="b">
        <v>1</v>
      </c>
      <c r="L55" s="91" t="b">
        <v>0</v>
      </c>
    </row>
    <row r="56" spans="1:12" ht="15">
      <c r="A56" s="87" t="s">
        <v>704</v>
      </c>
      <c r="B56" s="91" t="s">
        <v>705</v>
      </c>
      <c r="C56" s="91">
        <v>2</v>
      </c>
      <c r="D56" s="121">
        <v>0.004659800028906792</v>
      </c>
      <c r="E56" s="121">
        <v>2.161368002234975</v>
      </c>
      <c r="F56" s="91" t="s">
        <v>723</v>
      </c>
      <c r="G56" s="91" t="b">
        <v>0</v>
      </c>
      <c r="H56" s="91" t="b">
        <v>1</v>
      </c>
      <c r="I56" s="91" t="b">
        <v>0</v>
      </c>
      <c r="J56" s="91" t="b">
        <v>0</v>
      </c>
      <c r="K56" s="91" t="b">
        <v>0</v>
      </c>
      <c r="L56" s="91" t="b">
        <v>0</v>
      </c>
    </row>
    <row r="57" spans="1:12" ht="15">
      <c r="A57" s="87" t="s">
        <v>705</v>
      </c>
      <c r="B57" s="91" t="s">
        <v>706</v>
      </c>
      <c r="C57" s="91">
        <v>2</v>
      </c>
      <c r="D57" s="121">
        <v>0.004659800028906792</v>
      </c>
      <c r="E57" s="121">
        <v>2.161368002234975</v>
      </c>
      <c r="F57" s="91" t="s">
        <v>723</v>
      </c>
      <c r="G57" s="91" t="b">
        <v>0</v>
      </c>
      <c r="H57" s="91" t="b">
        <v>0</v>
      </c>
      <c r="I57" s="91" t="b">
        <v>0</v>
      </c>
      <c r="J57" s="91" t="b">
        <v>0</v>
      </c>
      <c r="K57" s="91" t="b">
        <v>0</v>
      </c>
      <c r="L57" s="91" t="b">
        <v>0</v>
      </c>
    </row>
    <row r="58" spans="1:12" ht="15">
      <c r="A58" s="87" t="s">
        <v>706</v>
      </c>
      <c r="B58" s="91" t="s">
        <v>588</v>
      </c>
      <c r="C58" s="91">
        <v>2</v>
      </c>
      <c r="D58" s="121">
        <v>0.004659800028906792</v>
      </c>
      <c r="E58" s="121">
        <v>1.8603380065709938</v>
      </c>
      <c r="F58" s="91" t="s">
        <v>723</v>
      </c>
      <c r="G58" s="91" t="b">
        <v>0</v>
      </c>
      <c r="H58" s="91" t="b">
        <v>0</v>
      </c>
      <c r="I58" s="91" t="b">
        <v>0</v>
      </c>
      <c r="J58" s="91" t="b">
        <v>0</v>
      </c>
      <c r="K58" s="91" t="b">
        <v>0</v>
      </c>
      <c r="L58" s="91" t="b">
        <v>0</v>
      </c>
    </row>
    <row r="59" spans="1:12" ht="15">
      <c r="A59" s="87" t="s">
        <v>588</v>
      </c>
      <c r="B59" s="91" t="s">
        <v>707</v>
      </c>
      <c r="C59" s="91">
        <v>2</v>
      </c>
      <c r="D59" s="121">
        <v>0.004659800028906792</v>
      </c>
      <c r="E59" s="121">
        <v>2.161368002234975</v>
      </c>
      <c r="F59" s="91" t="s">
        <v>723</v>
      </c>
      <c r="G59" s="91" t="b">
        <v>0</v>
      </c>
      <c r="H59" s="91" t="b">
        <v>0</v>
      </c>
      <c r="I59" s="91" t="b">
        <v>0</v>
      </c>
      <c r="J59" s="91" t="b">
        <v>0</v>
      </c>
      <c r="K59" s="91" t="b">
        <v>0</v>
      </c>
      <c r="L59" s="91" t="b">
        <v>0</v>
      </c>
    </row>
    <row r="60" spans="1:12" ht="15">
      <c r="A60" s="87" t="s">
        <v>707</v>
      </c>
      <c r="B60" s="91" t="s">
        <v>683</v>
      </c>
      <c r="C60" s="91">
        <v>2</v>
      </c>
      <c r="D60" s="121">
        <v>0.004659800028906792</v>
      </c>
      <c r="E60" s="121">
        <v>1.9852767431792937</v>
      </c>
      <c r="F60" s="91" t="s">
        <v>723</v>
      </c>
      <c r="G60" s="91" t="b">
        <v>0</v>
      </c>
      <c r="H60" s="91" t="b">
        <v>0</v>
      </c>
      <c r="I60" s="91" t="b">
        <v>0</v>
      </c>
      <c r="J60" s="91" t="b">
        <v>0</v>
      </c>
      <c r="K60" s="91" t="b">
        <v>0</v>
      </c>
      <c r="L60" s="91" t="b">
        <v>0</v>
      </c>
    </row>
    <row r="61" spans="1:12" ht="15">
      <c r="A61" s="87" t="s">
        <v>683</v>
      </c>
      <c r="B61" s="91" t="s">
        <v>567</v>
      </c>
      <c r="C61" s="91">
        <v>2</v>
      </c>
      <c r="D61" s="121">
        <v>0.004659800028906792</v>
      </c>
      <c r="E61" s="121">
        <v>1.3832167518513312</v>
      </c>
      <c r="F61" s="91" t="s">
        <v>723</v>
      </c>
      <c r="G61" s="91" t="b">
        <v>0</v>
      </c>
      <c r="H61" s="91" t="b">
        <v>0</v>
      </c>
      <c r="I61" s="91" t="b">
        <v>0</v>
      </c>
      <c r="J61" s="91" t="b">
        <v>0</v>
      </c>
      <c r="K61" s="91" t="b">
        <v>0</v>
      </c>
      <c r="L61" s="91" t="b">
        <v>0</v>
      </c>
    </row>
    <row r="62" spans="1:12" ht="15">
      <c r="A62" s="87" t="s">
        <v>567</v>
      </c>
      <c r="B62" s="91" t="s">
        <v>685</v>
      </c>
      <c r="C62" s="91">
        <v>2</v>
      </c>
      <c r="D62" s="121">
        <v>0.004659800028906792</v>
      </c>
      <c r="E62" s="121">
        <v>1.33206422940395</v>
      </c>
      <c r="F62" s="91" t="s">
        <v>723</v>
      </c>
      <c r="G62" s="91" t="b">
        <v>0</v>
      </c>
      <c r="H62" s="91" t="b">
        <v>0</v>
      </c>
      <c r="I62" s="91" t="b">
        <v>0</v>
      </c>
      <c r="J62" s="91" t="b">
        <v>0</v>
      </c>
      <c r="K62" s="91" t="b">
        <v>0</v>
      </c>
      <c r="L62" s="91" t="b">
        <v>0</v>
      </c>
    </row>
    <row r="63" spans="1:12" ht="15">
      <c r="A63" s="87" t="s">
        <v>685</v>
      </c>
      <c r="B63" s="91" t="s">
        <v>582</v>
      </c>
      <c r="C63" s="91">
        <v>2</v>
      </c>
      <c r="D63" s="121">
        <v>0.004659800028906792</v>
      </c>
      <c r="E63" s="121">
        <v>1.1102154797875936</v>
      </c>
      <c r="F63" s="91" t="s">
        <v>723</v>
      </c>
      <c r="G63" s="91" t="b">
        <v>0</v>
      </c>
      <c r="H63" s="91" t="b">
        <v>0</v>
      </c>
      <c r="I63" s="91" t="b">
        <v>0</v>
      </c>
      <c r="J63" s="91" t="b">
        <v>0</v>
      </c>
      <c r="K63" s="91" t="b">
        <v>0</v>
      </c>
      <c r="L63" s="91" t="b">
        <v>0</v>
      </c>
    </row>
    <row r="64" spans="1:12" ht="15">
      <c r="A64" s="87" t="s">
        <v>582</v>
      </c>
      <c r="B64" s="91" t="s">
        <v>708</v>
      </c>
      <c r="C64" s="91">
        <v>2</v>
      </c>
      <c r="D64" s="121">
        <v>0.004659800028906792</v>
      </c>
      <c r="E64" s="121">
        <v>1.3162699622207181</v>
      </c>
      <c r="F64" s="91" t="s">
        <v>723</v>
      </c>
      <c r="G64" s="91" t="b">
        <v>0</v>
      </c>
      <c r="H64" s="91" t="b">
        <v>0</v>
      </c>
      <c r="I64" s="91" t="b">
        <v>0</v>
      </c>
      <c r="J64" s="91" t="b">
        <v>0</v>
      </c>
      <c r="K64" s="91" t="b">
        <v>0</v>
      </c>
      <c r="L64" s="91" t="b">
        <v>0</v>
      </c>
    </row>
    <row r="65" spans="1:12" ht="15">
      <c r="A65" s="87" t="s">
        <v>708</v>
      </c>
      <c r="B65" s="91" t="s">
        <v>586</v>
      </c>
      <c r="C65" s="91">
        <v>2</v>
      </c>
      <c r="D65" s="121">
        <v>0.004659800028906792</v>
      </c>
      <c r="E65" s="121">
        <v>1.8603380065709938</v>
      </c>
      <c r="F65" s="91" t="s">
        <v>723</v>
      </c>
      <c r="G65" s="91" t="b">
        <v>0</v>
      </c>
      <c r="H65" s="91" t="b">
        <v>0</v>
      </c>
      <c r="I65" s="91" t="b">
        <v>0</v>
      </c>
      <c r="J65" s="91" t="b">
        <v>0</v>
      </c>
      <c r="K65" s="91" t="b">
        <v>0</v>
      </c>
      <c r="L65" s="91" t="b">
        <v>0</v>
      </c>
    </row>
    <row r="66" spans="1:12" ht="15">
      <c r="A66" s="87" t="s">
        <v>586</v>
      </c>
      <c r="B66" s="91" t="s">
        <v>709</v>
      </c>
      <c r="C66" s="91">
        <v>2</v>
      </c>
      <c r="D66" s="121">
        <v>0.004659800028906792</v>
      </c>
      <c r="E66" s="121">
        <v>1.8603380065709938</v>
      </c>
      <c r="F66" s="91" t="s">
        <v>723</v>
      </c>
      <c r="G66" s="91" t="b">
        <v>0</v>
      </c>
      <c r="H66" s="91" t="b">
        <v>0</v>
      </c>
      <c r="I66" s="91" t="b">
        <v>0</v>
      </c>
      <c r="J66" s="91" t="b">
        <v>0</v>
      </c>
      <c r="K66" s="91" t="b">
        <v>0</v>
      </c>
      <c r="L66" s="91" t="b">
        <v>0</v>
      </c>
    </row>
    <row r="67" spans="1:12" ht="15">
      <c r="A67" s="87" t="s">
        <v>709</v>
      </c>
      <c r="B67" s="91" t="s">
        <v>589</v>
      </c>
      <c r="C67" s="91">
        <v>2</v>
      </c>
      <c r="D67" s="121">
        <v>0.004659800028906792</v>
      </c>
      <c r="E67" s="121">
        <v>1.8603380065709938</v>
      </c>
      <c r="F67" s="91" t="s">
        <v>723</v>
      </c>
      <c r="G67" s="91" t="b">
        <v>0</v>
      </c>
      <c r="H67" s="91" t="b">
        <v>0</v>
      </c>
      <c r="I67" s="91" t="b">
        <v>0</v>
      </c>
      <c r="J67" s="91" t="b">
        <v>0</v>
      </c>
      <c r="K67" s="91" t="b">
        <v>0</v>
      </c>
      <c r="L67" s="91" t="b">
        <v>0</v>
      </c>
    </row>
    <row r="68" spans="1:12" ht="15">
      <c r="A68" s="87" t="s">
        <v>589</v>
      </c>
      <c r="B68" s="91" t="s">
        <v>584</v>
      </c>
      <c r="C68" s="91">
        <v>2</v>
      </c>
      <c r="D68" s="121">
        <v>0.004659800028906792</v>
      </c>
      <c r="E68" s="121">
        <v>1.5593080109070125</v>
      </c>
      <c r="F68" s="91" t="s">
        <v>723</v>
      </c>
      <c r="G68" s="91" t="b">
        <v>0</v>
      </c>
      <c r="H68" s="91" t="b">
        <v>0</v>
      </c>
      <c r="I68" s="91" t="b">
        <v>0</v>
      </c>
      <c r="J68" s="91" t="b">
        <v>0</v>
      </c>
      <c r="K68" s="91" t="b">
        <v>0</v>
      </c>
      <c r="L68" s="91" t="b">
        <v>0</v>
      </c>
    </row>
    <row r="69" spans="1:12" ht="15">
      <c r="A69" s="87" t="s">
        <v>584</v>
      </c>
      <c r="B69" s="91" t="s">
        <v>589</v>
      </c>
      <c r="C69" s="91">
        <v>2</v>
      </c>
      <c r="D69" s="121">
        <v>0.004659800028906792</v>
      </c>
      <c r="E69" s="121">
        <v>1.5593080109070125</v>
      </c>
      <c r="F69" s="91" t="s">
        <v>723</v>
      </c>
      <c r="G69" s="91" t="b">
        <v>0</v>
      </c>
      <c r="H69" s="91" t="b">
        <v>0</v>
      </c>
      <c r="I69" s="91" t="b">
        <v>0</v>
      </c>
      <c r="J69" s="91" t="b">
        <v>0</v>
      </c>
      <c r="K69" s="91" t="b">
        <v>0</v>
      </c>
      <c r="L69" s="91" t="b">
        <v>0</v>
      </c>
    </row>
    <row r="70" spans="1:12" ht="15">
      <c r="A70" s="87" t="s">
        <v>589</v>
      </c>
      <c r="B70" s="91" t="s">
        <v>710</v>
      </c>
      <c r="C70" s="91">
        <v>2</v>
      </c>
      <c r="D70" s="121">
        <v>0.004659800028906792</v>
      </c>
      <c r="E70" s="121">
        <v>1.8603380065709938</v>
      </c>
      <c r="F70" s="91" t="s">
        <v>723</v>
      </c>
      <c r="G70" s="91" t="b">
        <v>0</v>
      </c>
      <c r="H70" s="91" t="b">
        <v>0</v>
      </c>
      <c r="I70" s="91" t="b">
        <v>0</v>
      </c>
      <c r="J70" s="91" t="b">
        <v>0</v>
      </c>
      <c r="K70" s="91" t="b">
        <v>0</v>
      </c>
      <c r="L70" s="91" t="b">
        <v>0</v>
      </c>
    </row>
    <row r="71" spans="1:12" ht="15">
      <c r="A71" s="87" t="s">
        <v>710</v>
      </c>
      <c r="B71" s="91" t="s">
        <v>711</v>
      </c>
      <c r="C71" s="91">
        <v>2</v>
      </c>
      <c r="D71" s="121">
        <v>0.004659800028906792</v>
      </c>
      <c r="E71" s="121">
        <v>2.161368002234975</v>
      </c>
      <c r="F71" s="91" t="s">
        <v>723</v>
      </c>
      <c r="G71" s="91" t="b">
        <v>0</v>
      </c>
      <c r="H71" s="91" t="b">
        <v>0</v>
      </c>
      <c r="I71" s="91" t="b">
        <v>0</v>
      </c>
      <c r="J71" s="91" t="b">
        <v>0</v>
      </c>
      <c r="K71" s="91" t="b">
        <v>0</v>
      </c>
      <c r="L71" s="91" t="b">
        <v>0</v>
      </c>
    </row>
    <row r="72" spans="1:12" ht="15">
      <c r="A72" s="87" t="s">
        <v>711</v>
      </c>
      <c r="B72" s="91" t="s">
        <v>712</v>
      </c>
      <c r="C72" s="91">
        <v>2</v>
      </c>
      <c r="D72" s="121">
        <v>0.004659800028906792</v>
      </c>
      <c r="E72" s="121">
        <v>2.161368002234975</v>
      </c>
      <c r="F72" s="91" t="s">
        <v>723</v>
      </c>
      <c r="G72" s="91" t="b">
        <v>0</v>
      </c>
      <c r="H72" s="91" t="b">
        <v>0</v>
      </c>
      <c r="I72" s="91" t="b">
        <v>0</v>
      </c>
      <c r="J72" s="91" t="b">
        <v>0</v>
      </c>
      <c r="K72" s="91" t="b">
        <v>0</v>
      </c>
      <c r="L72" s="91" t="b">
        <v>0</v>
      </c>
    </row>
    <row r="73" spans="1:12" ht="15">
      <c r="A73" s="87" t="s">
        <v>712</v>
      </c>
      <c r="B73" s="91" t="s">
        <v>713</v>
      </c>
      <c r="C73" s="91">
        <v>2</v>
      </c>
      <c r="D73" s="121">
        <v>0.004659800028906792</v>
      </c>
      <c r="E73" s="121">
        <v>2.161368002234975</v>
      </c>
      <c r="F73" s="91" t="s">
        <v>723</v>
      </c>
      <c r="G73" s="91" t="b">
        <v>0</v>
      </c>
      <c r="H73" s="91" t="b">
        <v>0</v>
      </c>
      <c r="I73" s="91" t="b">
        <v>0</v>
      </c>
      <c r="J73" s="91" t="b">
        <v>0</v>
      </c>
      <c r="K73" s="91" t="b">
        <v>0</v>
      </c>
      <c r="L73" s="91" t="b">
        <v>0</v>
      </c>
    </row>
    <row r="74" spans="1:12" ht="15">
      <c r="A74" s="87" t="s">
        <v>713</v>
      </c>
      <c r="B74" s="91" t="s">
        <v>714</v>
      </c>
      <c r="C74" s="91">
        <v>2</v>
      </c>
      <c r="D74" s="121">
        <v>0.004659800028906792</v>
      </c>
      <c r="E74" s="121">
        <v>2.161368002234975</v>
      </c>
      <c r="F74" s="91" t="s">
        <v>723</v>
      </c>
      <c r="G74" s="91" t="b">
        <v>0</v>
      </c>
      <c r="H74" s="91" t="b">
        <v>0</v>
      </c>
      <c r="I74" s="91" t="b">
        <v>0</v>
      </c>
      <c r="J74" s="91" t="b">
        <v>0</v>
      </c>
      <c r="K74" s="91" t="b">
        <v>0</v>
      </c>
      <c r="L74" s="91" t="b">
        <v>0</v>
      </c>
    </row>
    <row r="75" spans="1:12" ht="15">
      <c r="A75" s="87" t="s">
        <v>714</v>
      </c>
      <c r="B75" s="91" t="s">
        <v>715</v>
      </c>
      <c r="C75" s="91">
        <v>2</v>
      </c>
      <c r="D75" s="121">
        <v>0.004659800028906792</v>
      </c>
      <c r="E75" s="121">
        <v>2.161368002234975</v>
      </c>
      <c r="F75" s="91" t="s">
        <v>723</v>
      </c>
      <c r="G75" s="91" t="b">
        <v>0</v>
      </c>
      <c r="H75" s="91" t="b">
        <v>0</v>
      </c>
      <c r="I75" s="91" t="b">
        <v>0</v>
      </c>
      <c r="J75" s="91" t="b">
        <v>0</v>
      </c>
      <c r="K75" s="91" t="b">
        <v>0</v>
      </c>
      <c r="L75" s="91" t="b">
        <v>0</v>
      </c>
    </row>
    <row r="76" spans="1:12" ht="15">
      <c r="A76" s="87" t="s">
        <v>715</v>
      </c>
      <c r="B76" s="91" t="s">
        <v>716</v>
      </c>
      <c r="C76" s="91">
        <v>2</v>
      </c>
      <c r="D76" s="121">
        <v>0.004659800028906792</v>
      </c>
      <c r="E76" s="121">
        <v>2.161368002234975</v>
      </c>
      <c r="F76" s="91" t="s">
        <v>723</v>
      </c>
      <c r="G76" s="91" t="b">
        <v>0</v>
      </c>
      <c r="H76" s="91" t="b">
        <v>0</v>
      </c>
      <c r="I76" s="91" t="b">
        <v>0</v>
      </c>
      <c r="J76" s="91" t="b">
        <v>0</v>
      </c>
      <c r="K76" s="91" t="b">
        <v>0</v>
      </c>
      <c r="L76" s="91" t="b">
        <v>0</v>
      </c>
    </row>
    <row r="77" spans="1:12" ht="15">
      <c r="A77" s="87" t="s">
        <v>716</v>
      </c>
      <c r="B77" s="91" t="s">
        <v>570</v>
      </c>
      <c r="C77" s="91">
        <v>2</v>
      </c>
      <c r="D77" s="121">
        <v>0.004659800028906792</v>
      </c>
      <c r="E77" s="121">
        <v>2.161368002234975</v>
      </c>
      <c r="F77" s="91" t="s">
        <v>723</v>
      </c>
      <c r="G77" s="91" t="b">
        <v>0</v>
      </c>
      <c r="H77" s="91" t="b">
        <v>0</v>
      </c>
      <c r="I77" s="91" t="b">
        <v>0</v>
      </c>
      <c r="J77" s="91" t="b">
        <v>0</v>
      </c>
      <c r="K77" s="91" t="b">
        <v>0</v>
      </c>
      <c r="L77" s="91" t="b">
        <v>0</v>
      </c>
    </row>
    <row r="78" spans="1:12" ht="15">
      <c r="A78" s="87" t="s">
        <v>570</v>
      </c>
      <c r="B78" s="91" t="s">
        <v>717</v>
      </c>
      <c r="C78" s="91">
        <v>2</v>
      </c>
      <c r="D78" s="121">
        <v>0.004659800028906792</v>
      </c>
      <c r="E78" s="121">
        <v>2.161368002234975</v>
      </c>
      <c r="F78" s="91" t="s">
        <v>723</v>
      </c>
      <c r="G78" s="91" t="b">
        <v>0</v>
      </c>
      <c r="H78" s="91" t="b">
        <v>0</v>
      </c>
      <c r="I78" s="91" t="b">
        <v>0</v>
      </c>
      <c r="J78" s="91" t="b">
        <v>0</v>
      </c>
      <c r="K78" s="91" t="b">
        <v>0</v>
      </c>
      <c r="L78" s="91" t="b">
        <v>0</v>
      </c>
    </row>
    <row r="79" spans="1:12" ht="15">
      <c r="A79" s="87" t="s">
        <v>717</v>
      </c>
      <c r="B79" s="91" t="s">
        <v>583</v>
      </c>
      <c r="C79" s="91">
        <v>2</v>
      </c>
      <c r="D79" s="121">
        <v>0.004659800028906792</v>
      </c>
      <c r="E79" s="121">
        <v>1.6842467475153124</v>
      </c>
      <c r="F79" s="91" t="s">
        <v>723</v>
      </c>
      <c r="G79" s="91" t="b">
        <v>0</v>
      </c>
      <c r="H79" s="91" t="b">
        <v>0</v>
      </c>
      <c r="I79" s="91" t="b">
        <v>0</v>
      </c>
      <c r="J79" s="91" t="b">
        <v>0</v>
      </c>
      <c r="K79" s="91" t="b">
        <v>0</v>
      </c>
      <c r="L79" s="91" t="b">
        <v>0</v>
      </c>
    </row>
    <row r="80" spans="1:12" ht="15">
      <c r="A80" s="87" t="s">
        <v>583</v>
      </c>
      <c r="B80" s="91" t="s">
        <v>588</v>
      </c>
      <c r="C80" s="91">
        <v>2</v>
      </c>
      <c r="D80" s="121">
        <v>0.004659800028906792</v>
      </c>
      <c r="E80" s="121">
        <v>1.3832167518513312</v>
      </c>
      <c r="F80" s="91" t="s">
        <v>723</v>
      </c>
      <c r="G80" s="91" t="b">
        <v>0</v>
      </c>
      <c r="H80" s="91" t="b">
        <v>0</v>
      </c>
      <c r="I80" s="91" t="b">
        <v>0</v>
      </c>
      <c r="J80" s="91" t="b">
        <v>0</v>
      </c>
      <c r="K80" s="91" t="b">
        <v>0</v>
      </c>
      <c r="L80" s="91" t="b">
        <v>0</v>
      </c>
    </row>
    <row r="81" spans="1:12" ht="15">
      <c r="A81" s="87" t="s">
        <v>268</v>
      </c>
      <c r="B81" s="91" t="s">
        <v>267</v>
      </c>
      <c r="C81" s="91">
        <v>2</v>
      </c>
      <c r="D81" s="121">
        <v>0</v>
      </c>
      <c r="E81" s="121">
        <v>1.8920946026904804</v>
      </c>
      <c r="F81" s="91" t="s">
        <v>527</v>
      </c>
      <c r="G81" s="91" t="b">
        <v>0</v>
      </c>
      <c r="H81" s="91" t="b">
        <v>0</v>
      </c>
      <c r="I81" s="91" t="b">
        <v>0</v>
      </c>
      <c r="J81" s="91" t="b">
        <v>0</v>
      </c>
      <c r="K81" s="91" t="b">
        <v>0</v>
      </c>
      <c r="L81" s="91" t="b">
        <v>0</v>
      </c>
    </row>
    <row r="82" spans="1:12" ht="15">
      <c r="A82" s="87" t="s">
        <v>267</v>
      </c>
      <c r="B82" s="91" t="s">
        <v>266</v>
      </c>
      <c r="C82" s="91">
        <v>2</v>
      </c>
      <c r="D82" s="121">
        <v>0</v>
      </c>
      <c r="E82" s="121">
        <v>1.8920946026904804</v>
      </c>
      <c r="F82" s="91" t="s">
        <v>527</v>
      </c>
      <c r="G82" s="91" t="b">
        <v>0</v>
      </c>
      <c r="H82" s="91" t="b">
        <v>0</v>
      </c>
      <c r="I82" s="91" t="b">
        <v>0</v>
      </c>
      <c r="J82" s="91" t="b">
        <v>0</v>
      </c>
      <c r="K82" s="91" t="b">
        <v>0</v>
      </c>
      <c r="L82" s="91" t="b">
        <v>0</v>
      </c>
    </row>
    <row r="83" spans="1:12" ht="15">
      <c r="A83" s="87" t="s">
        <v>266</v>
      </c>
      <c r="B83" s="91" t="s">
        <v>265</v>
      </c>
      <c r="C83" s="91">
        <v>2</v>
      </c>
      <c r="D83" s="121">
        <v>0</v>
      </c>
      <c r="E83" s="121">
        <v>1.8920946026904804</v>
      </c>
      <c r="F83" s="91" t="s">
        <v>527</v>
      </c>
      <c r="G83" s="91" t="b">
        <v>0</v>
      </c>
      <c r="H83" s="91" t="b">
        <v>0</v>
      </c>
      <c r="I83" s="91" t="b">
        <v>0</v>
      </c>
      <c r="J83" s="91" t="b">
        <v>0</v>
      </c>
      <c r="K83" s="91" t="b">
        <v>0</v>
      </c>
      <c r="L83" s="91" t="b">
        <v>0</v>
      </c>
    </row>
    <row r="84" spans="1:12" ht="15">
      <c r="A84" s="87" t="s">
        <v>265</v>
      </c>
      <c r="B84" s="91" t="s">
        <v>264</v>
      </c>
      <c r="C84" s="91">
        <v>2</v>
      </c>
      <c r="D84" s="121">
        <v>0</v>
      </c>
      <c r="E84" s="121">
        <v>1.8920946026904804</v>
      </c>
      <c r="F84" s="91" t="s">
        <v>527</v>
      </c>
      <c r="G84" s="91" t="b">
        <v>0</v>
      </c>
      <c r="H84" s="91" t="b">
        <v>0</v>
      </c>
      <c r="I84" s="91" t="b">
        <v>0</v>
      </c>
      <c r="J84" s="91" t="b">
        <v>0</v>
      </c>
      <c r="K84" s="91" t="b">
        <v>0</v>
      </c>
      <c r="L84" s="91" t="b">
        <v>0</v>
      </c>
    </row>
    <row r="85" spans="1:12" ht="15">
      <c r="A85" s="87" t="s">
        <v>264</v>
      </c>
      <c r="B85" s="91" t="s">
        <v>263</v>
      </c>
      <c r="C85" s="91">
        <v>2</v>
      </c>
      <c r="D85" s="121">
        <v>0</v>
      </c>
      <c r="E85" s="121">
        <v>1.8920946026904804</v>
      </c>
      <c r="F85" s="91" t="s">
        <v>527</v>
      </c>
      <c r="G85" s="91" t="b">
        <v>0</v>
      </c>
      <c r="H85" s="91" t="b">
        <v>0</v>
      </c>
      <c r="I85" s="91" t="b">
        <v>0</v>
      </c>
      <c r="J85" s="91" t="b">
        <v>0</v>
      </c>
      <c r="K85" s="91" t="b">
        <v>0</v>
      </c>
      <c r="L85" s="91" t="b">
        <v>0</v>
      </c>
    </row>
    <row r="86" spans="1:12" ht="15">
      <c r="A86" s="87" t="s">
        <v>263</v>
      </c>
      <c r="B86" s="91" t="s">
        <v>262</v>
      </c>
      <c r="C86" s="91">
        <v>2</v>
      </c>
      <c r="D86" s="121">
        <v>0</v>
      </c>
      <c r="E86" s="121">
        <v>1.8920946026904804</v>
      </c>
      <c r="F86" s="91" t="s">
        <v>527</v>
      </c>
      <c r="G86" s="91" t="b">
        <v>0</v>
      </c>
      <c r="H86" s="91" t="b">
        <v>0</v>
      </c>
      <c r="I86" s="91" t="b">
        <v>0</v>
      </c>
      <c r="J86" s="91" t="b">
        <v>0</v>
      </c>
      <c r="K86" s="91" t="b">
        <v>0</v>
      </c>
      <c r="L86" s="91" t="b">
        <v>0</v>
      </c>
    </row>
    <row r="87" spans="1:12" ht="15">
      <c r="A87" s="87" t="s">
        <v>262</v>
      </c>
      <c r="B87" s="91" t="s">
        <v>261</v>
      </c>
      <c r="C87" s="91">
        <v>2</v>
      </c>
      <c r="D87" s="121">
        <v>0</v>
      </c>
      <c r="E87" s="121">
        <v>1.8920946026904804</v>
      </c>
      <c r="F87" s="91" t="s">
        <v>527</v>
      </c>
      <c r="G87" s="91" t="b">
        <v>0</v>
      </c>
      <c r="H87" s="91" t="b">
        <v>0</v>
      </c>
      <c r="I87" s="91" t="b">
        <v>0</v>
      </c>
      <c r="J87" s="91" t="b">
        <v>0</v>
      </c>
      <c r="K87" s="91" t="b">
        <v>0</v>
      </c>
      <c r="L87" s="91" t="b">
        <v>0</v>
      </c>
    </row>
    <row r="88" spans="1:12" ht="15">
      <c r="A88" s="87" t="s">
        <v>261</v>
      </c>
      <c r="B88" s="91" t="s">
        <v>260</v>
      </c>
      <c r="C88" s="91">
        <v>2</v>
      </c>
      <c r="D88" s="121">
        <v>0</v>
      </c>
      <c r="E88" s="121">
        <v>1.8920946026904804</v>
      </c>
      <c r="F88" s="91" t="s">
        <v>527</v>
      </c>
      <c r="G88" s="91" t="b">
        <v>0</v>
      </c>
      <c r="H88" s="91" t="b">
        <v>0</v>
      </c>
      <c r="I88" s="91" t="b">
        <v>0</v>
      </c>
      <c r="J88" s="91" t="b">
        <v>0</v>
      </c>
      <c r="K88" s="91" t="b">
        <v>0</v>
      </c>
      <c r="L88" s="91" t="b">
        <v>0</v>
      </c>
    </row>
    <row r="89" spans="1:12" ht="15">
      <c r="A89" s="87" t="s">
        <v>260</v>
      </c>
      <c r="B89" s="91" t="s">
        <v>259</v>
      </c>
      <c r="C89" s="91">
        <v>2</v>
      </c>
      <c r="D89" s="121">
        <v>0</v>
      </c>
      <c r="E89" s="121">
        <v>1.8920946026904804</v>
      </c>
      <c r="F89" s="91" t="s">
        <v>527</v>
      </c>
      <c r="G89" s="91" t="b">
        <v>0</v>
      </c>
      <c r="H89" s="91" t="b">
        <v>0</v>
      </c>
      <c r="I89" s="91" t="b">
        <v>0</v>
      </c>
      <c r="J89" s="91" t="b">
        <v>0</v>
      </c>
      <c r="K89" s="91" t="b">
        <v>0</v>
      </c>
      <c r="L89" s="91" t="b">
        <v>0</v>
      </c>
    </row>
    <row r="90" spans="1:12" ht="15">
      <c r="A90" s="87" t="s">
        <v>259</v>
      </c>
      <c r="B90" s="91" t="s">
        <v>258</v>
      </c>
      <c r="C90" s="91">
        <v>2</v>
      </c>
      <c r="D90" s="121">
        <v>0</v>
      </c>
      <c r="E90" s="121">
        <v>1.8920946026904804</v>
      </c>
      <c r="F90" s="91" t="s">
        <v>527</v>
      </c>
      <c r="G90" s="91" t="b">
        <v>0</v>
      </c>
      <c r="H90" s="91" t="b">
        <v>0</v>
      </c>
      <c r="I90" s="91" t="b">
        <v>0</v>
      </c>
      <c r="J90" s="91" t="b">
        <v>0</v>
      </c>
      <c r="K90" s="91" t="b">
        <v>0</v>
      </c>
      <c r="L90" s="91" t="b">
        <v>0</v>
      </c>
    </row>
    <row r="91" spans="1:12" ht="15">
      <c r="A91" s="87" t="s">
        <v>258</v>
      </c>
      <c r="B91" s="91" t="s">
        <v>257</v>
      </c>
      <c r="C91" s="91">
        <v>2</v>
      </c>
      <c r="D91" s="121">
        <v>0</v>
      </c>
      <c r="E91" s="121">
        <v>1.8920946026904804</v>
      </c>
      <c r="F91" s="91" t="s">
        <v>527</v>
      </c>
      <c r="G91" s="91" t="b">
        <v>0</v>
      </c>
      <c r="H91" s="91" t="b">
        <v>0</v>
      </c>
      <c r="I91" s="91" t="b">
        <v>0</v>
      </c>
      <c r="J91" s="91" t="b">
        <v>0</v>
      </c>
      <c r="K91" s="91" t="b">
        <v>0</v>
      </c>
      <c r="L91" s="91" t="b">
        <v>0</v>
      </c>
    </row>
    <row r="92" spans="1:12" ht="15">
      <c r="A92" s="87" t="s">
        <v>257</v>
      </c>
      <c r="B92" s="91" t="s">
        <v>256</v>
      </c>
      <c r="C92" s="91">
        <v>2</v>
      </c>
      <c r="D92" s="121">
        <v>0</v>
      </c>
      <c r="E92" s="121">
        <v>1.8920946026904804</v>
      </c>
      <c r="F92" s="91" t="s">
        <v>527</v>
      </c>
      <c r="G92" s="91" t="b">
        <v>0</v>
      </c>
      <c r="H92" s="91" t="b">
        <v>0</v>
      </c>
      <c r="I92" s="91" t="b">
        <v>0</v>
      </c>
      <c r="J92" s="91" t="b">
        <v>0</v>
      </c>
      <c r="K92" s="91" t="b">
        <v>0</v>
      </c>
      <c r="L92" s="91" t="b">
        <v>0</v>
      </c>
    </row>
    <row r="93" spans="1:12" ht="15">
      <c r="A93" s="87" t="s">
        <v>256</v>
      </c>
      <c r="B93" s="91" t="s">
        <v>255</v>
      </c>
      <c r="C93" s="91">
        <v>2</v>
      </c>
      <c r="D93" s="121">
        <v>0</v>
      </c>
      <c r="E93" s="121">
        <v>1.8920946026904804</v>
      </c>
      <c r="F93" s="91" t="s">
        <v>527</v>
      </c>
      <c r="G93" s="91" t="b">
        <v>0</v>
      </c>
      <c r="H93" s="91" t="b">
        <v>0</v>
      </c>
      <c r="I93" s="91" t="b">
        <v>0</v>
      </c>
      <c r="J93" s="91" t="b">
        <v>0</v>
      </c>
      <c r="K93" s="91" t="b">
        <v>0</v>
      </c>
      <c r="L93" s="91" t="b">
        <v>0</v>
      </c>
    </row>
    <row r="94" spans="1:12" ht="15">
      <c r="A94" s="87" t="s">
        <v>255</v>
      </c>
      <c r="B94" s="91" t="s">
        <v>254</v>
      </c>
      <c r="C94" s="91">
        <v>2</v>
      </c>
      <c r="D94" s="121">
        <v>0</v>
      </c>
      <c r="E94" s="121">
        <v>1.8920946026904804</v>
      </c>
      <c r="F94" s="91" t="s">
        <v>527</v>
      </c>
      <c r="G94" s="91" t="b">
        <v>0</v>
      </c>
      <c r="H94" s="91" t="b">
        <v>0</v>
      </c>
      <c r="I94" s="91" t="b">
        <v>0</v>
      </c>
      <c r="J94" s="91" t="b">
        <v>0</v>
      </c>
      <c r="K94" s="91" t="b">
        <v>0</v>
      </c>
      <c r="L94" s="91" t="b">
        <v>0</v>
      </c>
    </row>
    <row r="95" spans="1:12" ht="15">
      <c r="A95" s="87" t="s">
        <v>254</v>
      </c>
      <c r="B95" s="91" t="s">
        <v>253</v>
      </c>
      <c r="C95" s="91">
        <v>2</v>
      </c>
      <c r="D95" s="121">
        <v>0</v>
      </c>
      <c r="E95" s="121">
        <v>1.8920946026904804</v>
      </c>
      <c r="F95" s="91" t="s">
        <v>527</v>
      </c>
      <c r="G95" s="91" t="b">
        <v>0</v>
      </c>
      <c r="H95" s="91" t="b">
        <v>0</v>
      </c>
      <c r="I95" s="91" t="b">
        <v>0</v>
      </c>
      <c r="J95" s="91" t="b">
        <v>0</v>
      </c>
      <c r="K95" s="91" t="b">
        <v>0</v>
      </c>
      <c r="L95" s="91" t="b">
        <v>0</v>
      </c>
    </row>
    <row r="96" spans="1:12" ht="15">
      <c r="A96" s="87" t="s">
        <v>253</v>
      </c>
      <c r="B96" s="91" t="s">
        <v>252</v>
      </c>
      <c r="C96" s="91">
        <v>2</v>
      </c>
      <c r="D96" s="121">
        <v>0</v>
      </c>
      <c r="E96" s="121">
        <v>1.8920946026904804</v>
      </c>
      <c r="F96" s="91" t="s">
        <v>527</v>
      </c>
      <c r="G96" s="91" t="b">
        <v>0</v>
      </c>
      <c r="H96" s="91" t="b">
        <v>0</v>
      </c>
      <c r="I96" s="91" t="b">
        <v>0</v>
      </c>
      <c r="J96" s="91" t="b">
        <v>0</v>
      </c>
      <c r="K96" s="91" t="b">
        <v>0</v>
      </c>
      <c r="L96" s="91" t="b">
        <v>0</v>
      </c>
    </row>
    <row r="97" spans="1:12" ht="15">
      <c r="A97" s="87" t="s">
        <v>252</v>
      </c>
      <c r="B97" s="91" t="s">
        <v>251</v>
      </c>
      <c r="C97" s="91">
        <v>2</v>
      </c>
      <c r="D97" s="121">
        <v>0</v>
      </c>
      <c r="E97" s="121">
        <v>1.8920946026904804</v>
      </c>
      <c r="F97" s="91" t="s">
        <v>527</v>
      </c>
      <c r="G97" s="91" t="b">
        <v>0</v>
      </c>
      <c r="H97" s="91" t="b">
        <v>0</v>
      </c>
      <c r="I97" s="91" t="b">
        <v>0</v>
      </c>
      <c r="J97" s="91" t="b">
        <v>0</v>
      </c>
      <c r="K97" s="91" t="b">
        <v>0</v>
      </c>
      <c r="L97" s="91" t="b">
        <v>0</v>
      </c>
    </row>
    <row r="98" spans="1:12" ht="15">
      <c r="A98" s="87" t="s">
        <v>251</v>
      </c>
      <c r="B98" s="91" t="s">
        <v>250</v>
      </c>
      <c r="C98" s="91">
        <v>2</v>
      </c>
      <c r="D98" s="121">
        <v>0</v>
      </c>
      <c r="E98" s="121">
        <v>1.8920946026904804</v>
      </c>
      <c r="F98" s="91" t="s">
        <v>527</v>
      </c>
      <c r="G98" s="91" t="b">
        <v>0</v>
      </c>
      <c r="H98" s="91" t="b">
        <v>0</v>
      </c>
      <c r="I98" s="91" t="b">
        <v>0</v>
      </c>
      <c r="J98" s="91" t="b">
        <v>0</v>
      </c>
      <c r="K98" s="91" t="b">
        <v>0</v>
      </c>
      <c r="L98" s="91" t="b">
        <v>0</v>
      </c>
    </row>
    <row r="99" spans="1:12" ht="15">
      <c r="A99" s="87" t="s">
        <v>250</v>
      </c>
      <c r="B99" s="91" t="s">
        <v>249</v>
      </c>
      <c r="C99" s="91">
        <v>2</v>
      </c>
      <c r="D99" s="121">
        <v>0</v>
      </c>
      <c r="E99" s="121">
        <v>1.8920946026904804</v>
      </c>
      <c r="F99" s="91" t="s">
        <v>527</v>
      </c>
      <c r="G99" s="91" t="b">
        <v>0</v>
      </c>
      <c r="H99" s="91" t="b">
        <v>0</v>
      </c>
      <c r="I99" s="91" t="b">
        <v>0</v>
      </c>
      <c r="J99" s="91" t="b">
        <v>0</v>
      </c>
      <c r="K99" s="91" t="b">
        <v>0</v>
      </c>
      <c r="L99" s="91" t="b">
        <v>0</v>
      </c>
    </row>
    <row r="100" spans="1:12" ht="15">
      <c r="A100" s="87" t="s">
        <v>249</v>
      </c>
      <c r="B100" s="91" t="s">
        <v>248</v>
      </c>
      <c r="C100" s="91">
        <v>2</v>
      </c>
      <c r="D100" s="121">
        <v>0</v>
      </c>
      <c r="E100" s="121">
        <v>1.8920946026904804</v>
      </c>
      <c r="F100" s="91" t="s">
        <v>527</v>
      </c>
      <c r="G100" s="91" t="b">
        <v>0</v>
      </c>
      <c r="H100" s="91" t="b">
        <v>0</v>
      </c>
      <c r="I100" s="91" t="b">
        <v>0</v>
      </c>
      <c r="J100" s="91" t="b">
        <v>0</v>
      </c>
      <c r="K100" s="91" t="b">
        <v>0</v>
      </c>
      <c r="L100" s="91" t="b">
        <v>0</v>
      </c>
    </row>
    <row r="101" spans="1:12" ht="15">
      <c r="A101" s="87" t="s">
        <v>248</v>
      </c>
      <c r="B101" s="91" t="s">
        <v>247</v>
      </c>
      <c r="C101" s="91">
        <v>2</v>
      </c>
      <c r="D101" s="121">
        <v>0</v>
      </c>
      <c r="E101" s="121">
        <v>1.8920946026904804</v>
      </c>
      <c r="F101" s="91" t="s">
        <v>527</v>
      </c>
      <c r="G101" s="91" t="b">
        <v>0</v>
      </c>
      <c r="H101" s="91" t="b">
        <v>0</v>
      </c>
      <c r="I101" s="91" t="b">
        <v>0</v>
      </c>
      <c r="J101" s="91" t="b">
        <v>0</v>
      </c>
      <c r="K101" s="91" t="b">
        <v>0</v>
      </c>
      <c r="L101" s="91" t="b">
        <v>0</v>
      </c>
    </row>
    <row r="102" spans="1:12" ht="15">
      <c r="A102" s="87" t="s">
        <v>247</v>
      </c>
      <c r="B102" s="91" t="s">
        <v>238</v>
      </c>
      <c r="C102" s="91">
        <v>2</v>
      </c>
      <c r="D102" s="121">
        <v>0</v>
      </c>
      <c r="E102" s="121">
        <v>1.8920946026904804</v>
      </c>
      <c r="F102" s="91" t="s">
        <v>527</v>
      </c>
      <c r="G102" s="91" t="b">
        <v>0</v>
      </c>
      <c r="H102" s="91" t="b">
        <v>0</v>
      </c>
      <c r="I102" s="91" t="b">
        <v>0</v>
      </c>
      <c r="J102" s="91" t="b">
        <v>0</v>
      </c>
      <c r="K102" s="91" t="b">
        <v>0</v>
      </c>
      <c r="L102" s="91" t="b">
        <v>0</v>
      </c>
    </row>
    <row r="103" spans="1:12" ht="15">
      <c r="A103" s="87" t="s">
        <v>238</v>
      </c>
      <c r="B103" s="91" t="s">
        <v>246</v>
      </c>
      <c r="C103" s="91">
        <v>2</v>
      </c>
      <c r="D103" s="121">
        <v>0</v>
      </c>
      <c r="E103" s="121">
        <v>1.8920946026904804</v>
      </c>
      <c r="F103" s="91" t="s">
        <v>527</v>
      </c>
      <c r="G103" s="91" t="b">
        <v>0</v>
      </c>
      <c r="H103" s="91" t="b">
        <v>0</v>
      </c>
      <c r="I103" s="91" t="b">
        <v>0</v>
      </c>
      <c r="J103" s="91" t="b">
        <v>0</v>
      </c>
      <c r="K103" s="91" t="b">
        <v>0</v>
      </c>
      <c r="L103" s="91" t="b">
        <v>0</v>
      </c>
    </row>
    <row r="104" spans="1:12" ht="15">
      <c r="A104" s="87" t="s">
        <v>246</v>
      </c>
      <c r="B104" s="91" t="s">
        <v>245</v>
      </c>
      <c r="C104" s="91">
        <v>2</v>
      </c>
      <c r="D104" s="121">
        <v>0</v>
      </c>
      <c r="E104" s="121">
        <v>1.8920946026904804</v>
      </c>
      <c r="F104" s="91" t="s">
        <v>527</v>
      </c>
      <c r="G104" s="91" t="b">
        <v>0</v>
      </c>
      <c r="H104" s="91" t="b">
        <v>0</v>
      </c>
      <c r="I104" s="91" t="b">
        <v>0</v>
      </c>
      <c r="J104" s="91" t="b">
        <v>0</v>
      </c>
      <c r="K104" s="91" t="b">
        <v>0</v>
      </c>
      <c r="L104" s="91" t="b">
        <v>0</v>
      </c>
    </row>
    <row r="105" spans="1:12" ht="15">
      <c r="A105" s="87" t="s">
        <v>245</v>
      </c>
      <c r="B105" s="91" t="s">
        <v>244</v>
      </c>
      <c r="C105" s="91">
        <v>2</v>
      </c>
      <c r="D105" s="121">
        <v>0</v>
      </c>
      <c r="E105" s="121">
        <v>1.8920946026904804</v>
      </c>
      <c r="F105" s="91" t="s">
        <v>527</v>
      </c>
      <c r="G105" s="91" t="b">
        <v>0</v>
      </c>
      <c r="H105" s="91" t="b">
        <v>0</v>
      </c>
      <c r="I105" s="91" t="b">
        <v>0</v>
      </c>
      <c r="J105" s="91" t="b">
        <v>0</v>
      </c>
      <c r="K105" s="91" t="b">
        <v>0</v>
      </c>
      <c r="L105" s="91" t="b">
        <v>0</v>
      </c>
    </row>
    <row r="106" spans="1:12" ht="15">
      <c r="A106" s="87" t="s">
        <v>244</v>
      </c>
      <c r="B106" s="91" t="s">
        <v>688</v>
      </c>
      <c r="C106" s="91">
        <v>2</v>
      </c>
      <c r="D106" s="121">
        <v>0</v>
      </c>
      <c r="E106" s="121">
        <v>1.8920946026904804</v>
      </c>
      <c r="F106" s="91" t="s">
        <v>527</v>
      </c>
      <c r="G106" s="91" t="b">
        <v>0</v>
      </c>
      <c r="H106" s="91" t="b">
        <v>0</v>
      </c>
      <c r="I106" s="91" t="b">
        <v>0</v>
      </c>
      <c r="J106" s="91" t="b">
        <v>0</v>
      </c>
      <c r="K106" s="91" t="b">
        <v>0</v>
      </c>
      <c r="L106" s="91" t="b">
        <v>0</v>
      </c>
    </row>
    <row r="107" spans="1:12" ht="15">
      <c r="A107" s="87" t="s">
        <v>688</v>
      </c>
      <c r="B107" s="91" t="s">
        <v>689</v>
      </c>
      <c r="C107" s="91">
        <v>2</v>
      </c>
      <c r="D107" s="121">
        <v>0</v>
      </c>
      <c r="E107" s="121">
        <v>1.8920946026904804</v>
      </c>
      <c r="F107" s="91" t="s">
        <v>527</v>
      </c>
      <c r="G107" s="91" t="b">
        <v>0</v>
      </c>
      <c r="H107" s="91" t="b">
        <v>0</v>
      </c>
      <c r="I107" s="91" t="b">
        <v>0</v>
      </c>
      <c r="J107" s="91" t="b">
        <v>0</v>
      </c>
      <c r="K107" s="91" t="b">
        <v>0</v>
      </c>
      <c r="L107" s="91" t="b">
        <v>0</v>
      </c>
    </row>
    <row r="108" spans="1:12" ht="15">
      <c r="A108" s="87" t="s">
        <v>689</v>
      </c>
      <c r="B108" s="91" t="s">
        <v>690</v>
      </c>
      <c r="C108" s="91">
        <v>2</v>
      </c>
      <c r="D108" s="121">
        <v>0</v>
      </c>
      <c r="E108" s="121">
        <v>1.8920946026904804</v>
      </c>
      <c r="F108" s="91" t="s">
        <v>527</v>
      </c>
      <c r="G108" s="91" t="b">
        <v>0</v>
      </c>
      <c r="H108" s="91" t="b">
        <v>0</v>
      </c>
      <c r="I108" s="91" t="b">
        <v>0</v>
      </c>
      <c r="J108" s="91" t="b">
        <v>0</v>
      </c>
      <c r="K108" s="91" t="b">
        <v>0</v>
      </c>
      <c r="L108" s="91" t="b">
        <v>0</v>
      </c>
    </row>
    <row r="109" spans="1:12" ht="15">
      <c r="A109" s="87" t="s">
        <v>690</v>
      </c>
      <c r="B109" s="91" t="s">
        <v>584</v>
      </c>
      <c r="C109" s="91">
        <v>2</v>
      </c>
      <c r="D109" s="121">
        <v>0</v>
      </c>
      <c r="E109" s="121">
        <v>1.591064607026499</v>
      </c>
      <c r="F109" s="91" t="s">
        <v>527</v>
      </c>
      <c r="G109" s="91" t="b">
        <v>0</v>
      </c>
      <c r="H109" s="91" t="b">
        <v>0</v>
      </c>
      <c r="I109" s="91" t="b">
        <v>0</v>
      </c>
      <c r="J109" s="91" t="b">
        <v>0</v>
      </c>
      <c r="K109" s="91" t="b">
        <v>0</v>
      </c>
      <c r="L109" s="91" t="b">
        <v>0</v>
      </c>
    </row>
    <row r="110" spans="1:12" ht="15">
      <c r="A110" s="87" t="s">
        <v>584</v>
      </c>
      <c r="B110" s="91" t="s">
        <v>583</v>
      </c>
      <c r="C110" s="91">
        <v>2</v>
      </c>
      <c r="D110" s="121">
        <v>0</v>
      </c>
      <c r="E110" s="121">
        <v>1.1139433523068367</v>
      </c>
      <c r="F110" s="91" t="s">
        <v>527</v>
      </c>
      <c r="G110" s="91" t="b">
        <v>0</v>
      </c>
      <c r="H110" s="91" t="b">
        <v>0</v>
      </c>
      <c r="I110" s="91" t="b">
        <v>0</v>
      </c>
      <c r="J110" s="91" t="b">
        <v>0</v>
      </c>
      <c r="K110" s="91" t="b">
        <v>0</v>
      </c>
      <c r="L110" s="91" t="b">
        <v>0</v>
      </c>
    </row>
    <row r="111" spans="1:12" ht="15">
      <c r="A111" s="87" t="s">
        <v>583</v>
      </c>
      <c r="B111" s="91" t="s">
        <v>585</v>
      </c>
      <c r="C111" s="91">
        <v>2</v>
      </c>
      <c r="D111" s="121">
        <v>0</v>
      </c>
      <c r="E111" s="121">
        <v>1.1139433523068367</v>
      </c>
      <c r="F111" s="91" t="s">
        <v>527</v>
      </c>
      <c r="G111" s="91" t="b">
        <v>0</v>
      </c>
      <c r="H111" s="91" t="b">
        <v>0</v>
      </c>
      <c r="I111" s="91" t="b">
        <v>0</v>
      </c>
      <c r="J111" s="91" t="b">
        <v>0</v>
      </c>
      <c r="K111" s="91" t="b">
        <v>0</v>
      </c>
      <c r="L111" s="91" t="b">
        <v>0</v>
      </c>
    </row>
    <row r="112" spans="1:12" ht="15">
      <c r="A112" s="87" t="s">
        <v>585</v>
      </c>
      <c r="B112" s="91" t="s">
        <v>583</v>
      </c>
      <c r="C112" s="91">
        <v>2</v>
      </c>
      <c r="D112" s="121">
        <v>0</v>
      </c>
      <c r="E112" s="121">
        <v>1.1139433523068367</v>
      </c>
      <c r="F112" s="91" t="s">
        <v>527</v>
      </c>
      <c r="G112" s="91" t="b">
        <v>0</v>
      </c>
      <c r="H112" s="91" t="b">
        <v>0</v>
      </c>
      <c r="I112" s="91" t="b">
        <v>0</v>
      </c>
      <c r="J112" s="91" t="b">
        <v>0</v>
      </c>
      <c r="K112" s="91" t="b">
        <v>0</v>
      </c>
      <c r="L112" s="91" t="b">
        <v>0</v>
      </c>
    </row>
    <row r="113" spans="1:12" ht="15">
      <c r="A113" s="87" t="s">
        <v>583</v>
      </c>
      <c r="B113" s="91" t="s">
        <v>586</v>
      </c>
      <c r="C113" s="91">
        <v>2</v>
      </c>
      <c r="D113" s="121">
        <v>0</v>
      </c>
      <c r="E113" s="121">
        <v>1.1139433523068367</v>
      </c>
      <c r="F113" s="91" t="s">
        <v>527</v>
      </c>
      <c r="G113" s="91" t="b">
        <v>0</v>
      </c>
      <c r="H113" s="91" t="b">
        <v>0</v>
      </c>
      <c r="I113" s="91" t="b">
        <v>0</v>
      </c>
      <c r="J113" s="91" t="b">
        <v>0</v>
      </c>
      <c r="K113" s="91" t="b">
        <v>0</v>
      </c>
      <c r="L113" s="91" t="b">
        <v>0</v>
      </c>
    </row>
    <row r="114" spans="1:12" ht="15">
      <c r="A114" s="87" t="s">
        <v>586</v>
      </c>
      <c r="B114" s="91" t="s">
        <v>691</v>
      </c>
      <c r="C114" s="91">
        <v>2</v>
      </c>
      <c r="D114" s="121">
        <v>0</v>
      </c>
      <c r="E114" s="121">
        <v>1.591064607026499</v>
      </c>
      <c r="F114" s="91" t="s">
        <v>527</v>
      </c>
      <c r="G114" s="91" t="b">
        <v>0</v>
      </c>
      <c r="H114" s="91" t="b">
        <v>0</v>
      </c>
      <c r="I114" s="91" t="b">
        <v>0</v>
      </c>
      <c r="J114" s="91" t="b">
        <v>0</v>
      </c>
      <c r="K114" s="91" t="b">
        <v>0</v>
      </c>
      <c r="L114" s="91" t="b">
        <v>0</v>
      </c>
    </row>
    <row r="115" spans="1:12" ht="15">
      <c r="A115" s="87" t="s">
        <v>691</v>
      </c>
      <c r="B115" s="91" t="s">
        <v>692</v>
      </c>
      <c r="C115" s="91">
        <v>2</v>
      </c>
      <c r="D115" s="121">
        <v>0</v>
      </c>
      <c r="E115" s="121">
        <v>1.8920946026904804</v>
      </c>
      <c r="F115" s="91" t="s">
        <v>527</v>
      </c>
      <c r="G115" s="91" t="b">
        <v>0</v>
      </c>
      <c r="H115" s="91" t="b">
        <v>0</v>
      </c>
      <c r="I115" s="91" t="b">
        <v>0</v>
      </c>
      <c r="J115" s="91" t="b">
        <v>0</v>
      </c>
      <c r="K115" s="91" t="b">
        <v>0</v>
      </c>
      <c r="L115" s="91" t="b">
        <v>0</v>
      </c>
    </row>
    <row r="116" spans="1:12" ht="15">
      <c r="A116" s="87" t="s">
        <v>692</v>
      </c>
      <c r="B116" s="91" t="s">
        <v>693</v>
      </c>
      <c r="C116" s="91">
        <v>2</v>
      </c>
      <c r="D116" s="121">
        <v>0</v>
      </c>
      <c r="E116" s="121">
        <v>1.8920946026904804</v>
      </c>
      <c r="F116" s="91" t="s">
        <v>527</v>
      </c>
      <c r="G116" s="91" t="b">
        <v>0</v>
      </c>
      <c r="H116" s="91" t="b">
        <v>0</v>
      </c>
      <c r="I116" s="91" t="b">
        <v>0</v>
      </c>
      <c r="J116" s="91" t="b">
        <v>0</v>
      </c>
      <c r="K116" s="91" t="b">
        <v>0</v>
      </c>
      <c r="L116" s="91" t="b">
        <v>0</v>
      </c>
    </row>
    <row r="117" spans="1:12" ht="15">
      <c r="A117" s="87" t="s">
        <v>693</v>
      </c>
      <c r="B117" s="91" t="s">
        <v>585</v>
      </c>
      <c r="C117" s="91">
        <v>2</v>
      </c>
      <c r="D117" s="121">
        <v>0</v>
      </c>
      <c r="E117" s="121">
        <v>1.591064607026499</v>
      </c>
      <c r="F117" s="91" t="s">
        <v>527</v>
      </c>
      <c r="G117" s="91" t="b">
        <v>0</v>
      </c>
      <c r="H117" s="91" t="b">
        <v>0</v>
      </c>
      <c r="I117" s="91" t="b">
        <v>0</v>
      </c>
      <c r="J117" s="91" t="b">
        <v>0</v>
      </c>
      <c r="K117" s="91" t="b">
        <v>0</v>
      </c>
      <c r="L117" s="91" t="b">
        <v>0</v>
      </c>
    </row>
    <row r="118" spans="1:12" ht="15">
      <c r="A118" s="87" t="s">
        <v>585</v>
      </c>
      <c r="B118" s="91" t="s">
        <v>694</v>
      </c>
      <c r="C118" s="91">
        <v>2</v>
      </c>
      <c r="D118" s="121">
        <v>0</v>
      </c>
      <c r="E118" s="121">
        <v>1.591064607026499</v>
      </c>
      <c r="F118" s="91" t="s">
        <v>527</v>
      </c>
      <c r="G118" s="91" t="b">
        <v>0</v>
      </c>
      <c r="H118" s="91" t="b">
        <v>0</v>
      </c>
      <c r="I118" s="91" t="b">
        <v>0</v>
      </c>
      <c r="J118" s="91" t="b">
        <v>0</v>
      </c>
      <c r="K118" s="91" t="b">
        <v>0</v>
      </c>
      <c r="L118" s="91" t="b">
        <v>0</v>
      </c>
    </row>
    <row r="119" spans="1:12" ht="15">
      <c r="A119" s="87" t="s">
        <v>694</v>
      </c>
      <c r="B119" s="91" t="s">
        <v>695</v>
      </c>
      <c r="C119" s="91">
        <v>2</v>
      </c>
      <c r="D119" s="121">
        <v>0</v>
      </c>
      <c r="E119" s="121">
        <v>1.8920946026904804</v>
      </c>
      <c r="F119" s="91" t="s">
        <v>527</v>
      </c>
      <c r="G119" s="91" t="b">
        <v>0</v>
      </c>
      <c r="H119" s="91" t="b">
        <v>0</v>
      </c>
      <c r="I119" s="91" t="b">
        <v>0</v>
      </c>
      <c r="J119" s="91" t="b">
        <v>0</v>
      </c>
      <c r="K119" s="91" t="b">
        <v>0</v>
      </c>
      <c r="L119" s="91" t="b">
        <v>0</v>
      </c>
    </row>
    <row r="120" spans="1:12" ht="15">
      <c r="A120" s="87" t="s">
        <v>695</v>
      </c>
      <c r="B120" s="91" t="s">
        <v>696</v>
      </c>
      <c r="C120" s="91">
        <v>2</v>
      </c>
      <c r="D120" s="121">
        <v>0</v>
      </c>
      <c r="E120" s="121">
        <v>1.8920946026904804</v>
      </c>
      <c r="F120" s="91" t="s">
        <v>527</v>
      </c>
      <c r="G120" s="91" t="b">
        <v>0</v>
      </c>
      <c r="H120" s="91" t="b">
        <v>0</v>
      </c>
      <c r="I120" s="91" t="b">
        <v>0</v>
      </c>
      <c r="J120" s="91" t="b">
        <v>0</v>
      </c>
      <c r="K120" s="91" t="b">
        <v>0</v>
      </c>
      <c r="L120" s="91" t="b">
        <v>0</v>
      </c>
    </row>
    <row r="121" spans="1:12" ht="15">
      <c r="A121" s="87" t="s">
        <v>696</v>
      </c>
      <c r="B121" s="91" t="s">
        <v>697</v>
      </c>
      <c r="C121" s="91">
        <v>2</v>
      </c>
      <c r="D121" s="121">
        <v>0</v>
      </c>
      <c r="E121" s="121">
        <v>1.8920946026904804</v>
      </c>
      <c r="F121" s="91" t="s">
        <v>527</v>
      </c>
      <c r="G121" s="91" t="b">
        <v>0</v>
      </c>
      <c r="H121" s="91" t="b">
        <v>0</v>
      </c>
      <c r="I121" s="91" t="b">
        <v>0</v>
      </c>
      <c r="J121" s="91" t="b">
        <v>0</v>
      </c>
      <c r="K121" s="91" t="b">
        <v>0</v>
      </c>
      <c r="L121" s="91" t="b">
        <v>0</v>
      </c>
    </row>
    <row r="122" spans="1:12" ht="15">
      <c r="A122" s="87" t="s">
        <v>697</v>
      </c>
      <c r="B122" s="91" t="s">
        <v>698</v>
      </c>
      <c r="C122" s="91">
        <v>2</v>
      </c>
      <c r="D122" s="121">
        <v>0</v>
      </c>
      <c r="E122" s="121">
        <v>1.8920946026904804</v>
      </c>
      <c r="F122" s="91" t="s">
        <v>527</v>
      </c>
      <c r="G122" s="91" t="b">
        <v>0</v>
      </c>
      <c r="H122" s="91" t="b">
        <v>0</v>
      </c>
      <c r="I122" s="91" t="b">
        <v>0</v>
      </c>
      <c r="J122" s="91" t="b">
        <v>0</v>
      </c>
      <c r="K122" s="91" t="b">
        <v>0</v>
      </c>
      <c r="L122" s="91" t="b">
        <v>0</v>
      </c>
    </row>
    <row r="123" spans="1:12" ht="15">
      <c r="A123" s="87" t="s">
        <v>698</v>
      </c>
      <c r="B123" s="91" t="s">
        <v>699</v>
      </c>
      <c r="C123" s="91">
        <v>2</v>
      </c>
      <c r="D123" s="121">
        <v>0</v>
      </c>
      <c r="E123" s="121">
        <v>1.8920946026904804</v>
      </c>
      <c r="F123" s="91" t="s">
        <v>527</v>
      </c>
      <c r="G123" s="91" t="b">
        <v>0</v>
      </c>
      <c r="H123" s="91" t="b">
        <v>0</v>
      </c>
      <c r="I123" s="91" t="b">
        <v>0</v>
      </c>
      <c r="J123" s="91" t="b">
        <v>0</v>
      </c>
      <c r="K123" s="91" t="b">
        <v>0</v>
      </c>
      <c r="L123" s="91" t="b">
        <v>0</v>
      </c>
    </row>
    <row r="124" spans="1:12" ht="15">
      <c r="A124" s="87" t="s">
        <v>699</v>
      </c>
      <c r="B124" s="91" t="s">
        <v>700</v>
      </c>
      <c r="C124" s="91">
        <v>2</v>
      </c>
      <c r="D124" s="121">
        <v>0</v>
      </c>
      <c r="E124" s="121">
        <v>1.8920946026904804</v>
      </c>
      <c r="F124" s="91" t="s">
        <v>527</v>
      </c>
      <c r="G124" s="91" t="b">
        <v>0</v>
      </c>
      <c r="H124" s="91" t="b">
        <v>0</v>
      </c>
      <c r="I124" s="91" t="b">
        <v>0</v>
      </c>
      <c r="J124" s="91" t="b">
        <v>0</v>
      </c>
      <c r="K124" s="91" t="b">
        <v>0</v>
      </c>
      <c r="L124" s="91" t="b">
        <v>0</v>
      </c>
    </row>
    <row r="125" spans="1:12" ht="15">
      <c r="A125" s="87" t="s">
        <v>700</v>
      </c>
      <c r="B125" s="91" t="s">
        <v>587</v>
      </c>
      <c r="C125" s="91">
        <v>2</v>
      </c>
      <c r="D125" s="121">
        <v>0</v>
      </c>
      <c r="E125" s="121">
        <v>1.591064607026499</v>
      </c>
      <c r="F125" s="91" t="s">
        <v>527</v>
      </c>
      <c r="G125" s="91" t="b">
        <v>0</v>
      </c>
      <c r="H125" s="91" t="b">
        <v>0</v>
      </c>
      <c r="I125" s="91" t="b">
        <v>0</v>
      </c>
      <c r="J125" s="91" t="b">
        <v>0</v>
      </c>
      <c r="K125" s="91" t="b">
        <v>0</v>
      </c>
      <c r="L125" s="91" t="b">
        <v>0</v>
      </c>
    </row>
    <row r="126" spans="1:12" ht="15">
      <c r="A126" s="87" t="s">
        <v>587</v>
      </c>
      <c r="B126" s="91" t="s">
        <v>587</v>
      </c>
      <c r="C126" s="91">
        <v>2</v>
      </c>
      <c r="D126" s="121">
        <v>0</v>
      </c>
      <c r="E126" s="121">
        <v>1.290034611362518</v>
      </c>
      <c r="F126" s="91" t="s">
        <v>527</v>
      </c>
      <c r="G126" s="91" t="b">
        <v>0</v>
      </c>
      <c r="H126" s="91" t="b">
        <v>0</v>
      </c>
      <c r="I126" s="91" t="b">
        <v>0</v>
      </c>
      <c r="J126" s="91" t="b">
        <v>0</v>
      </c>
      <c r="K126" s="91" t="b">
        <v>0</v>
      </c>
      <c r="L126" s="91" t="b">
        <v>0</v>
      </c>
    </row>
    <row r="127" spans="1:12" ht="15">
      <c r="A127" s="87" t="s">
        <v>587</v>
      </c>
      <c r="B127" s="91" t="s">
        <v>701</v>
      </c>
      <c r="C127" s="91">
        <v>2</v>
      </c>
      <c r="D127" s="121">
        <v>0</v>
      </c>
      <c r="E127" s="121">
        <v>1.591064607026499</v>
      </c>
      <c r="F127" s="91" t="s">
        <v>527</v>
      </c>
      <c r="G127" s="91" t="b">
        <v>0</v>
      </c>
      <c r="H127" s="91" t="b">
        <v>0</v>
      </c>
      <c r="I127" s="91" t="b">
        <v>0</v>
      </c>
      <c r="J127" s="91" t="b">
        <v>0</v>
      </c>
      <c r="K127" s="91" t="b">
        <v>0</v>
      </c>
      <c r="L127" s="91" t="b">
        <v>0</v>
      </c>
    </row>
    <row r="128" spans="1:12" ht="15">
      <c r="A128" s="87" t="s">
        <v>701</v>
      </c>
      <c r="B128" s="91" t="s">
        <v>702</v>
      </c>
      <c r="C128" s="91">
        <v>2</v>
      </c>
      <c r="D128" s="121">
        <v>0</v>
      </c>
      <c r="E128" s="121">
        <v>1.8920946026904804</v>
      </c>
      <c r="F128" s="91" t="s">
        <v>527</v>
      </c>
      <c r="G128" s="91" t="b">
        <v>0</v>
      </c>
      <c r="H128" s="91" t="b">
        <v>0</v>
      </c>
      <c r="I128" s="91" t="b">
        <v>0</v>
      </c>
      <c r="J128" s="91" t="b">
        <v>0</v>
      </c>
      <c r="K128" s="91" t="b">
        <v>0</v>
      </c>
      <c r="L128" s="91" t="b">
        <v>0</v>
      </c>
    </row>
    <row r="129" spans="1:12" ht="15">
      <c r="A129" s="87" t="s">
        <v>702</v>
      </c>
      <c r="B129" s="91" t="s">
        <v>684</v>
      </c>
      <c r="C129" s="91">
        <v>2</v>
      </c>
      <c r="D129" s="121">
        <v>0</v>
      </c>
      <c r="E129" s="121">
        <v>1.8920946026904804</v>
      </c>
      <c r="F129" s="91" t="s">
        <v>527</v>
      </c>
      <c r="G129" s="91" t="b">
        <v>0</v>
      </c>
      <c r="H129" s="91" t="b">
        <v>0</v>
      </c>
      <c r="I129" s="91" t="b">
        <v>0</v>
      </c>
      <c r="J129" s="91" t="b">
        <v>0</v>
      </c>
      <c r="K129" s="91" t="b">
        <v>0</v>
      </c>
      <c r="L129" s="91" t="b">
        <v>0</v>
      </c>
    </row>
    <row r="130" spans="1:12" ht="15">
      <c r="A130" s="87" t="s">
        <v>684</v>
      </c>
      <c r="B130" s="91" t="s">
        <v>582</v>
      </c>
      <c r="C130" s="91">
        <v>2</v>
      </c>
      <c r="D130" s="121">
        <v>0</v>
      </c>
      <c r="E130" s="121">
        <v>1.414973347970818</v>
      </c>
      <c r="F130" s="91" t="s">
        <v>527</v>
      </c>
      <c r="G130" s="91" t="b">
        <v>0</v>
      </c>
      <c r="H130" s="91" t="b">
        <v>0</v>
      </c>
      <c r="I130" s="91" t="b">
        <v>0</v>
      </c>
      <c r="J130" s="91" t="b">
        <v>0</v>
      </c>
      <c r="K130" s="91" t="b">
        <v>0</v>
      </c>
      <c r="L130" s="91" t="b">
        <v>0</v>
      </c>
    </row>
    <row r="131" spans="1:12" ht="15">
      <c r="A131" s="87" t="s">
        <v>582</v>
      </c>
      <c r="B131" s="91" t="s">
        <v>703</v>
      </c>
      <c r="C131" s="91">
        <v>2</v>
      </c>
      <c r="D131" s="121">
        <v>0</v>
      </c>
      <c r="E131" s="121">
        <v>1.414973347970818</v>
      </c>
      <c r="F131" s="91" t="s">
        <v>527</v>
      </c>
      <c r="G131" s="91" t="b">
        <v>0</v>
      </c>
      <c r="H131" s="91" t="b">
        <v>0</v>
      </c>
      <c r="I131" s="91" t="b">
        <v>0</v>
      </c>
      <c r="J131" s="91" t="b">
        <v>0</v>
      </c>
      <c r="K131" s="91" t="b">
        <v>0</v>
      </c>
      <c r="L131" s="91" t="b">
        <v>0</v>
      </c>
    </row>
    <row r="132" spans="1:12" ht="15">
      <c r="A132" s="87" t="s">
        <v>703</v>
      </c>
      <c r="B132" s="91" t="s">
        <v>582</v>
      </c>
      <c r="C132" s="91">
        <v>2</v>
      </c>
      <c r="D132" s="121">
        <v>0</v>
      </c>
      <c r="E132" s="121">
        <v>1.414973347970818</v>
      </c>
      <c r="F132" s="91" t="s">
        <v>527</v>
      </c>
      <c r="G132" s="91" t="b">
        <v>0</v>
      </c>
      <c r="H132" s="91" t="b">
        <v>0</v>
      </c>
      <c r="I132" s="91" t="b">
        <v>0</v>
      </c>
      <c r="J132" s="91" t="b">
        <v>0</v>
      </c>
      <c r="K132" s="91" t="b">
        <v>0</v>
      </c>
      <c r="L132" s="91" t="b">
        <v>0</v>
      </c>
    </row>
    <row r="133" spans="1:12" ht="15">
      <c r="A133" s="87" t="s">
        <v>582</v>
      </c>
      <c r="B133" s="91" t="s">
        <v>704</v>
      </c>
      <c r="C133" s="91">
        <v>2</v>
      </c>
      <c r="D133" s="121">
        <v>0</v>
      </c>
      <c r="E133" s="121">
        <v>1.414973347970818</v>
      </c>
      <c r="F133" s="91" t="s">
        <v>527</v>
      </c>
      <c r="G133" s="91" t="b">
        <v>0</v>
      </c>
      <c r="H133" s="91" t="b">
        <v>0</v>
      </c>
      <c r="I133" s="91" t="b">
        <v>0</v>
      </c>
      <c r="J133" s="91" t="b">
        <v>0</v>
      </c>
      <c r="K133" s="91" t="b">
        <v>1</v>
      </c>
      <c r="L133" s="91" t="b">
        <v>0</v>
      </c>
    </row>
    <row r="134" spans="1:12" ht="15">
      <c r="A134" s="87" t="s">
        <v>704</v>
      </c>
      <c r="B134" s="91" t="s">
        <v>705</v>
      </c>
      <c r="C134" s="91">
        <v>2</v>
      </c>
      <c r="D134" s="121">
        <v>0</v>
      </c>
      <c r="E134" s="121">
        <v>1.8920946026904804</v>
      </c>
      <c r="F134" s="91" t="s">
        <v>527</v>
      </c>
      <c r="G134" s="91" t="b">
        <v>0</v>
      </c>
      <c r="H134" s="91" t="b">
        <v>1</v>
      </c>
      <c r="I134" s="91" t="b">
        <v>0</v>
      </c>
      <c r="J134" s="91" t="b">
        <v>0</v>
      </c>
      <c r="K134" s="91" t="b">
        <v>0</v>
      </c>
      <c r="L134" s="91" t="b">
        <v>0</v>
      </c>
    </row>
    <row r="135" spans="1:12" ht="15">
      <c r="A135" s="87" t="s">
        <v>705</v>
      </c>
      <c r="B135" s="91" t="s">
        <v>706</v>
      </c>
      <c r="C135" s="91">
        <v>2</v>
      </c>
      <c r="D135" s="121">
        <v>0</v>
      </c>
      <c r="E135" s="121">
        <v>1.8920946026904804</v>
      </c>
      <c r="F135" s="91" t="s">
        <v>527</v>
      </c>
      <c r="G135" s="91" t="b">
        <v>0</v>
      </c>
      <c r="H135" s="91" t="b">
        <v>0</v>
      </c>
      <c r="I135" s="91" t="b">
        <v>0</v>
      </c>
      <c r="J135" s="91" t="b">
        <v>0</v>
      </c>
      <c r="K135" s="91" t="b">
        <v>0</v>
      </c>
      <c r="L135" s="91" t="b">
        <v>0</v>
      </c>
    </row>
    <row r="136" spans="1:12" ht="15">
      <c r="A136" s="87" t="s">
        <v>706</v>
      </c>
      <c r="B136" s="91" t="s">
        <v>588</v>
      </c>
      <c r="C136" s="91">
        <v>2</v>
      </c>
      <c r="D136" s="121">
        <v>0</v>
      </c>
      <c r="E136" s="121">
        <v>1.591064607026499</v>
      </c>
      <c r="F136" s="91" t="s">
        <v>527</v>
      </c>
      <c r="G136" s="91" t="b">
        <v>0</v>
      </c>
      <c r="H136" s="91" t="b">
        <v>0</v>
      </c>
      <c r="I136" s="91" t="b">
        <v>0</v>
      </c>
      <c r="J136" s="91" t="b">
        <v>0</v>
      </c>
      <c r="K136" s="91" t="b">
        <v>0</v>
      </c>
      <c r="L136" s="91" t="b">
        <v>0</v>
      </c>
    </row>
    <row r="137" spans="1:12" ht="15">
      <c r="A137" s="87" t="s">
        <v>588</v>
      </c>
      <c r="B137" s="91" t="s">
        <v>707</v>
      </c>
      <c r="C137" s="91">
        <v>2</v>
      </c>
      <c r="D137" s="121">
        <v>0</v>
      </c>
      <c r="E137" s="121">
        <v>1.8920946026904804</v>
      </c>
      <c r="F137" s="91" t="s">
        <v>527</v>
      </c>
      <c r="G137" s="91" t="b">
        <v>0</v>
      </c>
      <c r="H137" s="91" t="b">
        <v>0</v>
      </c>
      <c r="I137" s="91" t="b">
        <v>0</v>
      </c>
      <c r="J137" s="91" t="b">
        <v>0</v>
      </c>
      <c r="K137" s="91" t="b">
        <v>0</v>
      </c>
      <c r="L137" s="91" t="b">
        <v>0</v>
      </c>
    </row>
    <row r="138" spans="1:12" ht="15">
      <c r="A138" s="87" t="s">
        <v>707</v>
      </c>
      <c r="B138" s="91" t="s">
        <v>683</v>
      </c>
      <c r="C138" s="91">
        <v>2</v>
      </c>
      <c r="D138" s="121">
        <v>0</v>
      </c>
      <c r="E138" s="121">
        <v>1.8920946026904804</v>
      </c>
      <c r="F138" s="91" t="s">
        <v>527</v>
      </c>
      <c r="G138" s="91" t="b">
        <v>0</v>
      </c>
      <c r="H138" s="91" t="b">
        <v>0</v>
      </c>
      <c r="I138" s="91" t="b">
        <v>0</v>
      </c>
      <c r="J138" s="91" t="b">
        <v>0</v>
      </c>
      <c r="K138" s="91" t="b">
        <v>0</v>
      </c>
      <c r="L138" s="91" t="b">
        <v>0</v>
      </c>
    </row>
    <row r="139" spans="1:12" ht="15">
      <c r="A139" s="87" t="s">
        <v>683</v>
      </c>
      <c r="B139" s="91" t="s">
        <v>567</v>
      </c>
      <c r="C139" s="91">
        <v>2</v>
      </c>
      <c r="D139" s="121">
        <v>0</v>
      </c>
      <c r="E139" s="121">
        <v>1.8920946026904804</v>
      </c>
      <c r="F139" s="91" t="s">
        <v>527</v>
      </c>
      <c r="G139" s="91" t="b">
        <v>0</v>
      </c>
      <c r="H139" s="91" t="b">
        <v>0</v>
      </c>
      <c r="I139" s="91" t="b">
        <v>0</v>
      </c>
      <c r="J139" s="91" t="b">
        <v>0</v>
      </c>
      <c r="K139" s="91" t="b">
        <v>0</v>
      </c>
      <c r="L139" s="91" t="b">
        <v>0</v>
      </c>
    </row>
    <row r="140" spans="1:12" ht="15">
      <c r="A140" s="87" t="s">
        <v>567</v>
      </c>
      <c r="B140" s="91" t="s">
        <v>685</v>
      </c>
      <c r="C140" s="91">
        <v>2</v>
      </c>
      <c r="D140" s="121">
        <v>0</v>
      </c>
      <c r="E140" s="121">
        <v>1.8920946026904804</v>
      </c>
      <c r="F140" s="91" t="s">
        <v>527</v>
      </c>
      <c r="G140" s="91" t="b">
        <v>0</v>
      </c>
      <c r="H140" s="91" t="b">
        <v>0</v>
      </c>
      <c r="I140" s="91" t="b">
        <v>0</v>
      </c>
      <c r="J140" s="91" t="b">
        <v>0</v>
      </c>
      <c r="K140" s="91" t="b">
        <v>0</v>
      </c>
      <c r="L140" s="91" t="b">
        <v>0</v>
      </c>
    </row>
    <row r="141" spans="1:12" ht="15">
      <c r="A141" s="87" t="s">
        <v>685</v>
      </c>
      <c r="B141" s="91" t="s">
        <v>582</v>
      </c>
      <c r="C141" s="91">
        <v>2</v>
      </c>
      <c r="D141" s="121">
        <v>0</v>
      </c>
      <c r="E141" s="121">
        <v>1.414973347970818</v>
      </c>
      <c r="F141" s="91" t="s">
        <v>527</v>
      </c>
      <c r="G141" s="91" t="b">
        <v>0</v>
      </c>
      <c r="H141" s="91" t="b">
        <v>0</v>
      </c>
      <c r="I141" s="91" t="b">
        <v>0</v>
      </c>
      <c r="J141" s="91" t="b">
        <v>0</v>
      </c>
      <c r="K141" s="91" t="b">
        <v>0</v>
      </c>
      <c r="L141" s="91" t="b">
        <v>0</v>
      </c>
    </row>
    <row r="142" spans="1:12" ht="15">
      <c r="A142" s="87" t="s">
        <v>582</v>
      </c>
      <c r="B142" s="91" t="s">
        <v>708</v>
      </c>
      <c r="C142" s="91">
        <v>2</v>
      </c>
      <c r="D142" s="121">
        <v>0</v>
      </c>
      <c r="E142" s="121">
        <v>1.414973347970818</v>
      </c>
      <c r="F142" s="91" t="s">
        <v>527</v>
      </c>
      <c r="G142" s="91" t="b">
        <v>0</v>
      </c>
      <c r="H142" s="91" t="b">
        <v>0</v>
      </c>
      <c r="I142" s="91" t="b">
        <v>0</v>
      </c>
      <c r="J142" s="91" t="b">
        <v>0</v>
      </c>
      <c r="K142" s="91" t="b">
        <v>0</v>
      </c>
      <c r="L142" s="91" t="b">
        <v>0</v>
      </c>
    </row>
    <row r="143" spans="1:12" ht="15">
      <c r="A143" s="87" t="s">
        <v>708</v>
      </c>
      <c r="B143" s="91" t="s">
        <v>586</v>
      </c>
      <c r="C143" s="91">
        <v>2</v>
      </c>
      <c r="D143" s="121">
        <v>0</v>
      </c>
      <c r="E143" s="121">
        <v>1.591064607026499</v>
      </c>
      <c r="F143" s="91" t="s">
        <v>527</v>
      </c>
      <c r="G143" s="91" t="b">
        <v>0</v>
      </c>
      <c r="H143" s="91" t="b">
        <v>0</v>
      </c>
      <c r="I143" s="91" t="b">
        <v>0</v>
      </c>
      <c r="J143" s="91" t="b">
        <v>0</v>
      </c>
      <c r="K143" s="91" t="b">
        <v>0</v>
      </c>
      <c r="L143" s="91" t="b">
        <v>0</v>
      </c>
    </row>
    <row r="144" spans="1:12" ht="15">
      <c r="A144" s="87" t="s">
        <v>586</v>
      </c>
      <c r="B144" s="91" t="s">
        <v>709</v>
      </c>
      <c r="C144" s="91">
        <v>2</v>
      </c>
      <c r="D144" s="121">
        <v>0</v>
      </c>
      <c r="E144" s="121">
        <v>1.591064607026499</v>
      </c>
      <c r="F144" s="91" t="s">
        <v>527</v>
      </c>
      <c r="G144" s="91" t="b">
        <v>0</v>
      </c>
      <c r="H144" s="91" t="b">
        <v>0</v>
      </c>
      <c r="I144" s="91" t="b">
        <v>0</v>
      </c>
      <c r="J144" s="91" t="b">
        <v>0</v>
      </c>
      <c r="K144" s="91" t="b">
        <v>0</v>
      </c>
      <c r="L144" s="91" t="b">
        <v>0</v>
      </c>
    </row>
    <row r="145" spans="1:12" ht="15">
      <c r="A145" s="87" t="s">
        <v>709</v>
      </c>
      <c r="B145" s="91" t="s">
        <v>589</v>
      </c>
      <c r="C145" s="91">
        <v>2</v>
      </c>
      <c r="D145" s="121">
        <v>0</v>
      </c>
      <c r="E145" s="121">
        <v>1.591064607026499</v>
      </c>
      <c r="F145" s="91" t="s">
        <v>527</v>
      </c>
      <c r="G145" s="91" t="b">
        <v>0</v>
      </c>
      <c r="H145" s="91" t="b">
        <v>0</v>
      </c>
      <c r="I145" s="91" t="b">
        <v>0</v>
      </c>
      <c r="J145" s="91" t="b">
        <v>0</v>
      </c>
      <c r="K145" s="91" t="b">
        <v>0</v>
      </c>
      <c r="L145" s="91" t="b">
        <v>0</v>
      </c>
    </row>
    <row r="146" spans="1:12" ht="15">
      <c r="A146" s="87" t="s">
        <v>589</v>
      </c>
      <c r="B146" s="91" t="s">
        <v>584</v>
      </c>
      <c r="C146" s="91">
        <v>2</v>
      </c>
      <c r="D146" s="121">
        <v>0</v>
      </c>
      <c r="E146" s="121">
        <v>1.290034611362518</v>
      </c>
      <c r="F146" s="91" t="s">
        <v>527</v>
      </c>
      <c r="G146" s="91" t="b">
        <v>0</v>
      </c>
      <c r="H146" s="91" t="b">
        <v>0</v>
      </c>
      <c r="I146" s="91" t="b">
        <v>0</v>
      </c>
      <c r="J146" s="91" t="b">
        <v>0</v>
      </c>
      <c r="K146" s="91" t="b">
        <v>0</v>
      </c>
      <c r="L146" s="91" t="b">
        <v>0</v>
      </c>
    </row>
    <row r="147" spans="1:12" ht="15">
      <c r="A147" s="87" t="s">
        <v>584</v>
      </c>
      <c r="B147" s="91" t="s">
        <v>589</v>
      </c>
      <c r="C147" s="91">
        <v>2</v>
      </c>
      <c r="D147" s="121">
        <v>0</v>
      </c>
      <c r="E147" s="121">
        <v>1.290034611362518</v>
      </c>
      <c r="F147" s="91" t="s">
        <v>527</v>
      </c>
      <c r="G147" s="91" t="b">
        <v>0</v>
      </c>
      <c r="H147" s="91" t="b">
        <v>0</v>
      </c>
      <c r="I147" s="91" t="b">
        <v>0</v>
      </c>
      <c r="J147" s="91" t="b">
        <v>0</v>
      </c>
      <c r="K147" s="91" t="b">
        <v>0</v>
      </c>
      <c r="L147" s="91" t="b">
        <v>0</v>
      </c>
    </row>
    <row r="148" spans="1:12" ht="15">
      <c r="A148" s="87" t="s">
        <v>589</v>
      </c>
      <c r="B148" s="91" t="s">
        <v>710</v>
      </c>
      <c r="C148" s="91">
        <v>2</v>
      </c>
      <c r="D148" s="121">
        <v>0</v>
      </c>
      <c r="E148" s="121">
        <v>1.591064607026499</v>
      </c>
      <c r="F148" s="91" t="s">
        <v>527</v>
      </c>
      <c r="G148" s="91" t="b">
        <v>0</v>
      </c>
      <c r="H148" s="91" t="b">
        <v>0</v>
      </c>
      <c r="I148" s="91" t="b">
        <v>0</v>
      </c>
      <c r="J148" s="91" t="b">
        <v>0</v>
      </c>
      <c r="K148" s="91" t="b">
        <v>0</v>
      </c>
      <c r="L148" s="91" t="b">
        <v>0</v>
      </c>
    </row>
    <row r="149" spans="1:12" ht="15">
      <c r="A149" s="87" t="s">
        <v>710</v>
      </c>
      <c r="B149" s="91" t="s">
        <v>711</v>
      </c>
      <c r="C149" s="91">
        <v>2</v>
      </c>
      <c r="D149" s="121">
        <v>0</v>
      </c>
      <c r="E149" s="121">
        <v>1.8920946026904804</v>
      </c>
      <c r="F149" s="91" t="s">
        <v>527</v>
      </c>
      <c r="G149" s="91" t="b">
        <v>0</v>
      </c>
      <c r="H149" s="91" t="b">
        <v>0</v>
      </c>
      <c r="I149" s="91" t="b">
        <v>0</v>
      </c>
      <c r="J149" s="91" t="b">
        <v>0</v>
      </c>
      <c r="K149" s="91" t="b">
        <v>0</v>
      </c>
      <c r="L149" s="91" t="b">
        <v>0</v>
      </c>
    </row>
    <row r="150" spans="1:12" ht="15">
      <c r="A150" s="87" t="s">
        <v>711</v>
      </c>
      <c r="B150" s="91" t="s">
        <v>712</v>
      </c>
      <c r="C150" s="91">
        <v>2</v>
      </c>
      <c r="D150" s="121">
        <v>0</v>
      </c>
      <c r="E150" s="121">
        <v>1.8920946026904804</v>
      </c>
      <c r="F150" s="91" t="s">
        <v>527</v>
      </c>
      <c r="G150" s="91" t="b">
        <v>0</v>
      </c>
      <c r="H150" s="91" t="b">
        <v>0</v>
      </c>
      <c r="I150" s="91" t="b">
        <v>0</v>
      </c>
      <c r="J150" s="91" t="b">
        <v>0</v>
      </c>
      <c r="K150" s="91" t="b">
        <v>0</v>
      </c>
      <c r="L150" s="91" t="b">
        <v>0</v>
      </c>
    </row>
    <row r="151" spans="1:12" ht="15">
      <c r="A151" s="87" t="s">
        <v>712</v>
      </c>
      <c r="B151" s="91" t="s">
        <v>713</v>
      </c>
      <c r="C151" s="91">
        <v>2</v>
      </c>
      <c r="D151" s="121">
        <v>0</v>
      </c>
      <c r="E151" s="121">
        <v>1.8920946026904804</v>
      </c>
      <c r="F151" s="91" t="s">
        <v>527</v>
      </c>
      <c r="G151" s="91" t="b">
        <v>0</v>
      </c>
      <c r="H151" s="91" t="b">
        <v>0</v>
      </c>
      <c r="I151" s="91" t="b">
        <v>0</v>
      </c>
      <c r="J151" s="91" t="b">
        <v>0</v>
      </c>
      <c r="K151" s="91" t="b">
        <v>0</v>
      </c>
      <c r="L151" s="91" t="b">
        <v>0</v>
      </c>
    </row>
    <row r="152" spans="1:12" ht="15">
      <c r="A152" s="87" t="s">
        <v>713</v>
      </c>
      <c r="B152" s="91" t="s">
        <v>714</v>
      </c>
      <c r="C152" s="91">
        <v>2</v>
      </c>
      <c r="D152" s="121">
        <v>0</v>
      </c>
      <c r="E152" s="121">
        <v>1.8920946026904804</v>
      </c>
      <c r="F152" s="91" t="s">
        <v>527</v>
      </c>
      <c r="G152" s="91" t="b">
        <v>0</v>
      </c>
      <c r="H152" s="91" t="b">
        <v>0</v>
      </c>
      <c r="I152" s="91" t="b">
        <v>0</v>
      </c>
      <c r="J152" s="91" t="b">
        <v>0</v>
      </c>
      <c r="K152" s="91" t="b">
        <v>0</v>
      </c>
      <c r="L152" s="91" t="b">
        <v>0</v>
      </c>
    </row>
    <row r="153" spans="1:12" ht="15">
      <c r="A153" s="87" t="s">
        <v>714</v>
      </c>
      <c r="B153" s="91" t="s">
        <v>715</v>
      </c>
      <c r="C153" s="91">
        <v>2</v>
      </c>
      <c r="D153" s="121">
        <v>0</v>
      </c>
      <c r="E153" s="121">
        <v>1.8920946026904804</v>
      </c>
      <c r="F153" s="91" t="s">
        <v>527</v>
      </c>
      <c r="G153" s="91" t="b">
        <v>0</v>
      </c>
      <c r="H153" s="91" t="b">
        <v>0</v>
      </c>
      <c r="I153" s="91" t="b">
        <v>0</v>
      </c>
      <c r="J153" s="91" t="b">
        <v>0</v>
      </c>
      <c r="K153" s="91" t="b">
        <v>0</v>
      </c>
      <c r="L153" s="91" t="b">
        <v>0</v>
      </c>
    </row>
    <row r="154" spans="1:12" ht="15">
      <c r="A154" s="87" t="s">
        <v>715</v>
      </c>
      <c r="B154" s="91" t="s">
        <v>716</v>
      </c>
      <c r="C154" s="91">
        <v>2</v>
      </c>
      <c r="D154" s="121">
        <v>0</v>
      </c>
      <c r="E154" s="121">
        <v>1.8920946026904804</v>
      </c>
      <c r="F154" s="91" t="s">
        <v>527</v>
      </c>
      <c r="G154" s="91" t="b">
        <v>0</v>
      </c>
      <c r="H154" s="91" t="b">
        <v>0</v>
      </c>
      <c r="I154" s="91" t="b">
        <v>0</v>
      </c>
      <c r="J154" s="91" t="b">
        <v>0</v>
      </c>
      <c r="K154" s="91" t="b">
        <v>0</v>
      </c>
      <c r="L154" s="91" t="b">
        <v>0</v>
      </c>
    </row>
    <row r="155" spans="1:12" ht="15">
      <c r="A155" s="87" t="s">
        <v>716</v>
      </c>
      <c r="B155" s="91" t="s">
        <v>570</v>
      </c>
      <c r="C155" s="91">
        <v>2</v>
      </c>
      <c r="D155" s="121">
        <v>0</v>
      </c>
      <c r="E155" s="121">
        <v>1.8920946026904804</v>
      </c>
      <c r="F155" s="91" t="s">
        <v>527</v>
      </c>
      <c r="G155" s="91" t="b">
        <v>0</v>
      </c>
      <c r="H155" s="91" t="b">
        <v>0</v>
      </c>
      <c r="I155" s="91" t="b">
        <v>0</v>
      </c>
      <c r="J155" s="91" t="b">
        <v>0</v>
      </c>
      <c r="K155" s="91" t="b">
        <v>0</v>
      </c>
      <c r="L155" s="91" t="b">
        <v>0</v>
      </c>
    </row>
    <row r="156" spans="1:12" ht="15">
      <c r="A156" s="87" t="s">
        <v>570</v>
      </c>
      <c r="B156" s="91" t="s">
        <v>717</v>
      </c>
      <c r="C156" s="91">
        <v>2</v>
      </c>
      <c r="D156" s="121">
        <v>0</v>
      </c>
      <c r="E156" s="121">
        <v>1.8920946026904804</v>
      </c>
      <c r="F156" s="91" t="s">
        <v>527</v>
      </c>
      <c r="G156" s="91" t="b">
        <v>0</v>
      </c>
      <c r="H156" s="91" t="b">
        <v>0</v>
      </c>
      <c r="I156" s="91" t="b">
        <v>0</v>
      </c>
      <c r="J156" s="91" t="b">
        <v>0</v>
      </c>
      <c r="K156" s="91" t="b">
        <v>0</v>
      </c>
      <c r="L156" s="91" t="b">
        <v>0</v>
      </c>
    </row>
    <row r="157" spans="1:12" ht="15">
      <c r="A157" s="87" t="s">
        <v>717</v>
      </c>
      <c r="B157" s="91" t="s">
        <v>583</v>
      </c>
      <c r="C157" s="91">
        <v>2</v>
      </c>
      <c r="D157" s="121">
        <v>0</v>
      </c>
      <c r="E157" s="121">
        <v>1.414973347970818</v>
      </c>
      <c r="F157" s="91" t="s">
        <v>527</v>
      </c>
      <c r="G157" s="91" t="b">
        <v>0</v>
      </c>
      <c r="H157" s="91" t="b">
        <v>0</v>
      </c>
      <c r="I157" s="91" t="b">
        <v>0</v>
      </c>
      <c r="J157" s="91" t="b">
        <v>0</v>
      </c>
      <c r="K157" s="91" t="b">
        <v>0</v>
      </c>
      <c r="L157" s="91" t="b">
        <v>0</v>
      </c>
    </row>
    <row r="158" spans="1:12" ht="15">
      <c r="A158" s="87" t="s">
        <v>583</v>
      </c>
      <c r="B158" s="91" t="s">
        <v>588</v>
      </c>
      <c r="C158" s="91">
        <v>2</v>
      </c>
      <c r="D158" s="121">
        <v>0</v>
      </c>
      <c r="E158" s="121">
        <v>1.1139433523068367</v>
      </c>
      <c r="F158" s="91" t="s">
        <v>527</v>
      </c>
      <c r="G158" s="91" t="b">
        <v>0</v>
      </c>
      <c r="H158" s="91" t="b">
        <v>0</v>
      </c>
      <c r="I158" s="91" t="b">
        <v>0</v>
      </c>
      <c r="J158" s="91" t="b">
        <v>0</v>
      </c>
      <c r="K158" s="91" t="b">
        <v>0</v>
      </c>
      <c r="L158" s="91" t="b">
        <v>0</v>
      </c>
    </row>
    <row r="159" spans="1:12" ht="15">
      <c r="A159" s="87" t="s">
        <v>567</v>
      </c>
      <c r="B159" s="91" t="s">
        <v>582</v>
      </c>
      <c r="C159" s="91">
        <v>3</v>
      </c>
      <c r="D159" s="121">
        <v>0.008424636061380622</v>
      </c>
      <c r="E159" s="121">
        <v>0.8692317197309761</v>
      </c>
      <c r="F159" s="91" t="s">
        <v>528</v>
      </c>
      <c r="G159" s="91" t="b">
        <v>0</v>
      </c>
      <c r="H159" s="91" t="b">
        <v>0</v>
      </c>
      <c r="I159" s="91" t="b">
        <v>0</v>
      </c>
      <c r="J159" s="91" t="b">
        <v>0</v>
      </c>
      <c r="K159" s="91" t="b">
        <v>0</v>
      </c>
      <c r="L15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5F56-FB91-4406-9637-051F58D13769}">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747</v>
      </c>
      <c r="B2" s="124" t="s">
        <v>748</v>
      </c>
      <c r="C2" s="68" t="s">
        <v>749</v>
      </c>
    </row>
    <row r="3" spans="1:3" ht="15">
      <c r="A3" s="123" t="s">
        <v>527</v>
      </c>
      <c r="B3" s="123" t="s">
        <v>527</v>
      </c>
      <c r="C3" s="36">
        <v>52</v>
      </c>
    </row>
    <row r="4" spans="1:3" ht="15">
      <c r="A4" s="123" t="s">
        <v>528</v>
      </c>
      <c r="B4" s="123" t="s">
        <v>528</v>
      </c>
      <c r="C4" s="36">
        <v>5</v>
      </c>
    </row>
    <row r="5" spans="1:3" ht="15">
      <c r="A5" s="123" t="s">
        <v>529</v>
      </c>
      <c r="B5" s="123" t="s">
        <v>529</v>
      </c>
      <c r="C5" s="36">
        <v>2</v>
      </c>
    </row>
    <row r="6" spans="1:3" ht="15">
      <c r="A6" s="123" t="s">
        <v>530</v>
      </c>
      <c r="B6" s="123" t="s">
        <v>530</v>
      </c>
      <c r="C6" s="36">
        <v>1</v>
      </c>
    </row>
    <row r="7" spans="1:3" ht="15">
      <c r="A7" s="123" t="s">
        <v>531</v>
      </c>
      <c r="B7" s="123" t="s">
        <v>531</v>
      </c>
      <c r="C7"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07C0F-F14E-41C1-BB1B-4A257952D53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v>
      </c>
      <c r="B1" s="13" t="s">
        <v>17</v>
      </c>
    </row>
    <row r="2" spans="1:2" ht="15">
      <c r="A2" s="82" t="s">
        <v>770</v>
      </c>
      <c r="B2" s="82" t="s">
        <v>776</v>
      </c>
    </row>
    <row r="3" spans="1:2" ht="15">
      <c r="A3" s="83" t="s">
        <v>771</v>
      </c>
      <c r="B3" s="82" t="s">
        <v>777</v>
      </c>
    </row>
    <row r="4" spans="1:2" ht="15">
      <c r="A4" s="83" t="s">
        <v>772</v>
      </c>
      <c r="B4" s="82" t="s">
        <v>778</v>
      </c>
    </row>
    <row r="5" spans="1:2" ht="15">
      <c r="A5" s="83" t="s">
        <v>773</v>
      </c>
      <c r="B5" s="82" t="s">
        <v>779</v>
      </c>
    </row>
    <row r="6" spans="1:2" ht="15">
      <c r="A6" s="83" t="s">
        <v>774</v>
      </c>
      <c r="B6" s="82" t="s">
        <v>780</v>
      </c>
    </row>
    <row r="7" spans="1:2" ht="15">
      <c r="A7" s="83" t="s">
        <v>775</v>
      </c>
      <c r="B7" s="82"/>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23C1-FD1B-4E1B-BFF1-574E87236C9C}">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526</v>
      </c>
      <c r="BD2" s="13" t="s">
        <v>538</v>
      </c>
      <c r="BE2" s="13" t="s">
        <v>539</v>
      </c>
      <c r="BF2" s="68" t="s">
        <v>736</v>
      </c>
      <c r="BG2" s="68" t="s">
        <v>737</v>
      </c>
      <c r="BH2" s="68" t="s">
        <v>738</v>
      </c>
      <c r="BI2" s="68" t="s">
        <v>739</v>
      </c>
      <c r="BJ2" s="68" t="s">
        <v>740</v>
      </c>
      <c r="BK2" s="68" t="s">
        <v>741</v>
      </c>
      <c r="BL2" s="68" t="s">
        <v>742</v>
      </c>
      <c r="BM2" s="68" t="s">
        <v>743</v>
      </c>
      <c r="BN2" s="68" t="s">
        <v>744</v>
      </c>
    </row>
    <row r="3" spans="1:66" ht="15" customHeight="1">
      <c r="A3" s="81" t="s">
        <v>242</v>
      </c>
      <c r="B3" s="81" t="s">
        <v>242</v>
      </c>
      <c r="C3" s="53"/>
      <c r="D3" s="54"/>
      <c r="E3" s="66"/>
      <c r="F3" s="55"/>
      <c r="G3" s="53"/>
      <c r="H3" s="57"/>
      <c r="I3" s="56"/>
      <c r="J3" s="56"/>
      <c r="K3" s="36" t="s">
        <v>65</v>
      </c>
      <c r="L3" s="62">
        <v>3</v>
      </c>
      <c r="M3" s="62"/>
      <c r="N3" s="63"/>
      <c r="O3" s="82" t="s">
        <v>196</v>
      </c>
      <c r="P3" s="84">
        <v>44474.28083333333</v>
      </c>
      <c r="Q3" s="82" t="s">
        <v>284</v>
      </c>
      <c r="R3" s="82"/>
      <c r="S3" s="82"/>
      <c r="T3" s="82"/>
      <c r="U3" s="82"/>
      <c r="V3" s="88" t="str">
        <f>HYPERLINK("https://pbs.twimg.com/profile_images/1288065477722296321/837TwWoE_normal.jpg")</f>
        <v>https://pbs.twimg.com/profile_images/1288065477722296321/837TwWoE_normal.jpg</v>
      </c>
      <c r="W3" s="84">
        <v>44474.28083333333</v>
      </c>
      <c r="X3" s="89">
        <v>44474</v>
      </c>
      <c r="Y3" s="91" t="s">
        <v>297</v>
      </c>
      <c r="Z3" s="88" t="str">
        <f>HYPERLINK("https://twitter.com/soph8b/status/1445278680473751555")</f>
        <v>https://twitter.com/soph8b/status/1445278680473751555</v>
      </c>
      <c r="AA3" s="82"/>
      <c r="AB3" s="82"/>
      <c r="AC3" s="91" t="s">
        <v>307</v>
      </c>
      <c r="AD3" s="82"/>
      <c r="AE3" s="82" t="b">
        <v>0</v>
      </c>
      <c r="AF3" s="82">
        <v>2</v>
      </c>
      <c r="AG3" s="91" t="s">
        <v>312</v>
      </c>
      <c r="AH3" s="82" t="b">
        <v>0</v>
      </c>
      <c r="AI3" s="82" t="s">
        <v>317</v>
      </c>
      <c r="AJ3" s="82"/>
      <c r="AK3" s="91" t="s">
        <v>312</v>
      </c>
      <c r="AL3" s="82" t="b">
        <v>0</v>
      </c>
      <c r="AM3" s="82">
        <v>0</v>
      </c>
      <c r="AN3" s="91" t="s">
        <v>312</v>
      </c>
      <c r="AO3" s="91" t="s">
        <v>321</v>
      </c>
      <c r="AP3" s="82" t="b">
        <v>0</v>
      </c>
      <c r="AQ3" s="91" t="s">
        <v>307</v>
      </c>
      <c r="AR3" s="82" t="s">
        <v>196</v>
      </c>
      <c r="AS3" s="82">
        <v>0</v>
      </c>
      <c r="AT3" s="82">
        <v>0</v>
      </c>
      <c r="AU3" s="82"/>
      <c r="AV3" s="82"/>
      <c r="AW3" s="82"/>
      <c r="AX3" s="82"/>
      <c r="AY3" s="82"/>
      <c r="AZ3" s="82"/>
      <c r="BA3" s="82"/>
      <c r="BB3" s="82"/>
      <c r="BC3">
        <v>1</v>
      </c>
      <c r="BD3" s="82" t="str">
        <f>REPLACE(INDEX(GroupVertices[Group],MATCH(Edges25[[#This Row],[Vertex 1]],GroupVertices[Vertex],0)),1,1,"")</f>
        <v>2</v>
      </c>
      <c r="BE3" s="82" t="str">
        <f>REPLACE(INDEX(GroupVertices[Group],MATCH(Edges25[[#This Row],[Vertex 2]],GroupVertices[Vertex],0)),1,1,"")</f>
        <v>2</v>
      </c>
      <c r="BF3" s="51">
        <v>1</v>
      </c>
      <c r="BG3" s="52">
        <v>2.5</v>
      </c>
      <c r="BH3" s="51">
        <v>2</v>
      </c>
      <c r="BI3" s="52">
        <v>5</v>
      </c>
      <c r="BJ3" s="51">
        <v>0</v>
      </c>
      <c r="BK3" s="52">
        <v>0</v>
      </c>
      <c r="BL3" s="51">
        <v>37</v>
      </c>
      <c r="BM3" s="52">
        <v>92.5</v>
      </c>
      <c r="BN3" s="51">
        <v>40</v>
      </c>
    </row>
    <row r="4" spans="1:66" ht="15" customHeight="1">
      <c r="A4" s="81" t="s">
        <v>234</v>
      </c>
      <c r="B4" s="81" t="s">
        <v>234</v>
      </c>
      <c r="C4" s="53"/>
      <c r="D4" s="54"/>
      <c r="E4" s="53"/>
      <c r="F4" s="55"/>
      <c r="G4" s="53"/>
      <c r="H4" s="57"/>
      <c r="I4" s="56"/>
      <c r="J4" s="56"/>
      <c r="K4" s="36" t="s">
        <v>65</v>
      </c>
      <c r="L4" s="62">
        <v>4</v>
      </c>
      <c r="M4" s="62"/>
      <c r="N4" s="63"/>
      <c r="O4" s="83" t="s">
        <v>196</v>
      </c>
      <c r="P4" s="85">
        <v>44474.575740740744</v>
      </c>
      <c r="Q4" s="83" t="s">
        <v>276</v>
      </c>
      <c r="R4" s="86" t="str">
        <f>HYPERLINK("https://twitter.com/jan_dutkiewicz/status/1445374355656085509")</f>
        <v>https://twitter.com/jan_dutkiewicz/status/1445374355656085509</v>
      </c>
      <c r="S4" s="83" t="s">
        <v>285</v>
      </c>
      <c r="T4" s="83"/>
      <c r="U4" s="83"/>
      <c r="V4" s="86" t="str">
        <f>HYPERLINK("https://pbs.twimg.com/profile_images/1069637128370483201/BuXpxCEV_normal.jpg")</f>
        <v>https://pbs.twimg.com/profile_images/1069637128370483201/BuXpxCEV_normal.jpg</v>
      </c>
      <c r="W4" s="85">
        <v>44474.575740740744</v>
      </c>
      <c r="X4" s="90">
        <v>44474</v>
      </c>
      <c r="Y4" s="87" t="s">
        <v>288</v>
      </c>
      <c r="Z4" s="86" t="str">
        <f>HYPERLINK("https://twitter.com/barbkiser/status/1445385554502328340")</f>
        <v>https://twitter.com/barbkiser/status/1445385554502328340</v>
      </c>
      <c r="AA4" s="83"/>
      <c r="AB4" s="83"/>
      <c r="AC4" s="87" t="s">
        <v>298</v>
      </c>
      <c r="AD4" s="83"/>
      <c r="AE4" s="83" t="b">
        <v>0</v>
      </c>
      <c r="AF4" s="83">
        <v>1</v>
      </c>
      <c r="AG4" s="87" t="s">
        <v>312</v>
      </c>
      <c r="AH4" s="83" t="b">
        <v>1</v>
      </c>
      <c r="AI4" s="83" t="s">
        <v>317</v>
      </c>
      <c r="AJ4" s="83"/>
      <c r="AK4" s="87" t="s">
        <v>319</v>
      </c>
      <c r="AL4" s="83" t="b">
        <v>0</v>
      </c>
      <c r="AM4" s="83">
        <v>0</v>
      </c>
      <c r="AN4" s="87" t="s">
        <v>312</v>
      </c>
      <c r="AO4" s="87" t="s">
        <v>321</v>
      </c>
      <c r="AP4" s="83" t="b">
        <v>0</v>
      </c>
      <c r="AQ4" s="87" t="s">
        <v>298</v>
      </c>
      <c r="AR4" s="83" t="s">
        <v>196</v>
      </c>
      <c r="AS4" s="83">
        <v>0</v>
      </c>
      <c r="AT4" s="83">
        <v>0</v>
      </c>
      <c r="AU4" s="83"/>
      <c r="AV4" s="83"/>
      <c r="AW4" s="83"/>
      <c r="AX4" s="83"/>
      <c r="AY4" s="83"/>
      <c r="AZ4" s="83"/>
      <c r="BA4" s="83"/>
      <c r="BB4" s="83"/>
      <c r="BC4">
        <v>2</v>
      </c>
      <c r="BD4" s="82" t="str">
        <f>REPLACE(INDEX(GroupVertices[Group],MATCH(Edges25[[#This Row],[Vertex 1]],GroupVertices[Vertex],0)),1,1,"")</f>
        <v>2</v>
      </c>
      <c r="BE4" s="82" t="str">
        <f>REPLACE(INDEX(GroupVertices[Group],MATCH(Edges25[[#This Row],[Vertex 2]],GroupVertices[Vertex],0)),1,1,"")</f>
        <v>2</v>
      </c>
      <c r="BF4" s="51">
        <v>1</v>
      </c>
      <c r="BG4" s="52">
        <v>3.8461538461538463</v>
      </c>
      <c r="BH4" s="51">
        <v>2</v>
      </c>
      <c r="BI4" s="52">
        <v>7.6923076923076925</v>
      </c>
      <c r="BJ4" s="51">
        <v>0</v>
      </c>
      <c r="BK4" s="52">
        <v>0</v>
      </c>
      <c r="BL4" s="51">
        <v>23</v>
      </c>
      <c r="BM4" s="52">
        <v>88.46153846153847</v>
      </c>
      <c r="BN4" s="51">
        <v>26</v>
      </c>
    </row>
    <row r="5" spans="1:66" ht="15">
      <c r="A5" s="81" t="s">
        <v>234</v>
      </c>
      <c r="B5" s="81" t="s">
        <v>234</v>
      </c>
      <c r="C5" s="53"/>
      <c r="D5" s="54"/>
      <c r="E5" s="53"/>
      <c r="F5" s="55"/>
      <c r="G5" s="53"/>
      <c r="H5" s="57"/>
      <c r="I5" s="56"/>
      <c r="J5" s="56"/>
      <c r="K5" s="36" t="s">
        <v>65</v>
      </c>
      <c r="L5" s="62">
        <v>5</v>
      </c>
      <c r="M5" s="62"/>
      <c r="N5" s="63"/>
      <c r="O5" s="83" t="s">
        <v>196</v>
      </c>
      <c r="P5" s="85">
        <v>44474.620150462964</v>
      </c>
      <c r="Q5" s="83" t="s">
        <v>277</v>
      </c>
      <c r="R5" s="86" t="str">
        <f>HYPERLINK("https://twitter.com/chill_purr/status/1445387585745006610")</f>
        <v>https://twitter.com/chill_purr/status/1445387585745006610</v>
      </c>
      <c r="S5" s="83" t="s">
        <v>285</v>
      </c>
      <c r="T5" s="83"/>
      <c r="U5" s="83"/>
      <c r="V5" s="86" t="str">
        <f>HYPERLINK("https://pbs.twimg.com/profile_images/1069637128370483201/BuXpxCEV_normal.jpg")</f>
        <v>https://pbs.twimg.com/profile_images/1069637128370483201/BuXpxCEV_normal.jpg</v>
      </c>
      <c r="W5" s="85">
        <v>44474.620150462964</v>
      </c>
      <c r="X5" s="90">
        <v>44474</v>
      </c>
      <c r="Y5" s="87" t="s">
        <v>289</v>
      </c>
      <c r="Z5" s="86" t="str">
        <f>HYPERLINK("https://twitter.com/barbkiser/status/1445401647669202957")</f>
        <v>https://twitter.com/barbkiser/status/1445401647669202957</v>
      </c>
      <c r="AA5" s="83"/>
      <c r="AB5" s="83"/>
      <c r="AC5" s="87" t="s">
        <v>299</v>
      </c>
      <c r="AD5" s="83"/>
      <c r="AE5" s="83" t="b">
        <v>0</v>
      </c>
      <c r="AF5" s="83">
        <v>0</v>
      </c>
      <c r="AG5" s="87" t="s">
        <v>312</v>
      </c>
      <c r="AH5" s="83" t="b">
        <v>1</v>
      </c>
      <c r="AI5" s="83" t="s">
        <v>317</v>
      </c>
      <c r="AJ5" s="83"/>
      <c r="AK5" s="87" t="s">
        <v>320</v>
      </c>
      <c r="AL5" s="83" t="b">
        <v>0</v>
      </c>
      <c r="AM5" s="83">
        <v>0</v>
      </c>
      <c r="AN5" s="87" t="s">
        <v>312</v>
      </c>
      <c r="AO5" s="87" t="s">
        <v>321</v>
      </c>
      <c r="AP5" s="83" t="b">
        <v>0</v>
      </c>
      <c r="AQ5" s="87" t="s">
        <v>299</v>
      </c>
      <c r="AR5" s="83" t="s">
        <v>196</v>
      </c>
      <c r="AS5" s="83">
        <v>0</v>
      </c>
      <c r="AT5" s="83">
        <v>0</v>
      </c>
      <c r="AU5" s="83"/>
      <c r="AV5" s="83"/>
      <c r="AW5" s="83"/>
      <c r="AX5" s="83"/>
      <c r="AY5" s="83"/>
      <c r="AZ5" s="83"/>
      <c r="BA5" s="83"/>
      <c r="BB5" s="83"/>
      <c r="BC5">
        <v>2</v>
      </c>
      <c r="BD5" s="82" t="str">
        <f>REPLACE(INDEX(GroupVertices[Group],MATCH(Edges25[[#This Row],[Vertex 1]],GroupVertices[Vertex],0)),1,1,"")</f>
        <v>2</v>
      </c>
      <c r="BE5" s="82" t="str">
        <f>REPLACE(INDEX(GroupVertices[Group],MATCH(Edges25[[#This Row],[Vertex 2]],GroupVertices[Vertex],0)),1,1,"")</f>
        <v>2</v>
      </c>
      <c r="BF5" s="51">
        <v>1</v>
      </c>
      <c r="BG5" s="52">
        <v>2.272727272727273</v>
      </c>
      <c r="BH5" s="51">
        <v>0</v>
      </c>
      <c r="BI5" s="52">
        <v>0</v>
      </c>
      <c r="BJ5" s="51">
        <v>0</v>
      </c>
      <c r="BK5" s="52">
        <v>0</v>
      </c>
      <c r="BL5" s="51">
        <v>43</v>
      </c>
      <c r="BM5" s="52">
        <v>97.72727272727273</v>
      </c>
      <c r="BN5" s="51">
        <v>44</v>
      </c>
    </row>
    <row r="6" spans="1:66" ht="15">
      <c r="A6" s="81" t="s">
        <v>235</v>
      </c>
      <c r="B6" s="81" t="s">
        <v>235</v>
      </c>
      <c r="C6" s="53"/>
      <c r="D6" s="54"/>
      <c r="E6" s="53"/>
      <c r="F6" s="55"/>
      <c r="G6" s="53"/>
      <c r="H6" s="57"/>
      <c r="I6" s="56"/>
      <c r="J6" s="56"/>
      <c r="K6" s="36" t="s">
        <v>65</v>
      </c>
      <c r="L6" s="62">
        <v>6</v>
      </c>
      <c r="M6" s="62"/>
      <c r="N6" s="63"/>
      <c r="O6" s="83" t="s">
        <v>196</v>
      </c>
      <c r="P6" s="85">
        <v>44476.879282407404</v>
      </c>
      <c r="Q6" s="83" t="s">
        <v>278</v>
      </c>
      <c r="R6" s="83"/>
      <c r="S6" s="83"/>
      <c r="T6" s="83"/>
      <c r="U6" s="83"/>
      <c r="V6" s="86" t="str">
        <f>HYPERLINK("https://pbs.twimg.com/profile_images/946978016839720963/oGMSwGhV_normal.jpg")</f>
        <v>https://pbs.twimg.com/profile_images/946978016839720963/oGMSwGhV_normal.jpg</v>
      </c>
      <c r="W6" s="85">
        <v>44476.879282407404</v>
      </c>
      <c r="X6" s="90">
        <v>44476</v>
      </c>
      <c r="Y6" s="87" t="s">
        <v>290</v>
      </c>
      <c r="Z6" s="86" t="str">
        <f>HYPERLINK("https://twitter.com/crittheorybot/status/1446220327734886405")</f>
        <v>https://twitter.com/crittheorybot/status/1446220327734886405</v>
      </c>
      <c r="AA6" s="83"/>
      <c r="AB6" s="83"/>
      <c r="AC6" s="87" t="s">
        <v>300</v>
      </c>
      <c r="AD6" s="83"/>
      <c r="AE6" s="83" t="b">
        <v>0</v>
      </c>
      <c r="AF6" s="83">
        <v>0</v>
      </c>
      <c r="AG6" s="87" t="s">
        <v>312</v>
      </c>
      <c r="AH6" s="83" t="b">
        <v>0</v>
      </c>
      <c r="AI6" s="83" t="s">
        <v>317</v>
      </c>
      <c r="AJ6" s="83"/>
      <c r="AK6" s="87" t="s">
        <v>312</v>
      </c>
      <c r="AL6" s="83" t="b">
        <v>0</v>
      </c>
      <c r="AM6" s="83">
        <v>0</v>
      </c>
      <c r="AN6" s="87" t="s">
        <v>312</v>
      </c>
      <c r="AO6" s="87" t="s">
        <v>322</v>
      </c>
      <c r="AP6" s="83" t="b">
        <v>0</v>
      </c>
      <c r="AQ6" s="87" t="s">
        <v>300</v>
      </c>
      <c r="AR6" s="83" t="s">
        <v>196</v>
      </c>
      <c r="AS6" s="83">
        <v>0</v>
      </c>
      <c r="AT6" s="83">
        <v>0</v>
      </c>
      <c r="AU6" s="83"/>
      <c r="AV6" s="83"/>
      <c r="AW6" s="83"/>
      <c r="AX6" s="83"/>
      <c r="AY6" s="83"/>
      <c r="AZ6" s="83"/>
      <c r="BA6" s="83"/>
      <c r="BB6" s="83"/>
      <c r="BC6">
        <v>1</v>
      </c>
      <c r="BD6" s="82" t="str">
        <f>REPLACE(INDEX(GroupVertices[Group],MATCH(Edges25[[#This Row],[Vertex 1]],GroupVertices[Vertex],0)),1,1,"")</f>
        <v>2</v>
      </c>
      <c r="BE6" s="82" t="str">
        <f>REPLACE(INDEX(GroupVertices[Group],MATCH(Edges25[[#This Row],[Vertex 2]],GroupVertices[Vertex],0)),1,1,"")</f>
        <v>2</v>
      </c>
      <c r="BF6" s="51">
        <v>0</v>
      </c>
      <c r="BG6" s="52">
        <v>0</v>
      </c>
      <c r="BH6" s="51">
        <v>0</v>
      </c>
      <c r="BI6" s="52">
        <v>0</v>
      </c>
      <c r="BJ6" s="51">
        <v>0</v>
      </c>
      <c r="BK6" s="52">
        <v>0</v>
      </c>
      <c r="BL6" s="51">
        <v>13</v>
      </c>
      <c r="BM6" s="52">
        <v>100</v>
      </c>
      <c r="BN6" s="51">
        <v>13</v>
      </c>
    </row>
    <row r="7" spans="1:66" ht="15">
      <c r="A7" s="81" t="s">
        <v>236</v>
      </c>
      <c r="B7" s="81" t="s">
        <v>243</v>
      </c>
      <c r="C7" s="53"/>
      <c r="D7" s="54"/>
      <c r="E7" s="53"/>
      <c r="F7" s="55"/>
      <c r="G7" s="53"/>
      <c r="H7" s="57"/>
      <c r="I7" s="56"/>
      <c r="J7" s="56"/>
      <c r="K7" s="36" t="s">
        <v>65</v>
      </c>
      <c r="L7" s="62">
        <v>7</v>
      </c>
      <c r="M7" s="62"/>
      <c r="N7" s="63"/>
      <c r="O7" s="83" t="s">
        <v>272</v>
      </c>
      <c r="P7" s="85">
        <v>44477.966898148145</v>
      </c>
      <c r="Q7" s="83" t="s">
        <v>279</v>
      </c>
      <c r="R7" s="83"/>
      <c r="S7" s="83"/>
      <c r="T7" s="83"/>
      <c r="U7" s="83"/>
      <c r="V7" s="86" t="str">
        <f>HYPERLINK("https://pbs.twimg.com/profile_images/1420534073571700740/RkGo6Y0a_normal.jpg")</f>
        <v>https://pbs.twimg.com/profile_images/1420534073571700740/RkGo6Y0a_normal.jpg</v>
      </c>
      <c r="W7" s="85">
        <v>44477.966898148145</v>
      </c>
      <c r="X7" s="90">
        <v>44477</v>
      </c>
      <c r="Y7" s="87" t="s">
        <v>291</v>
      </c>
      <c r="Z7" s="86" t="str">
        <f>HYPERLINK("https://twitter.com/jordanrossmedia/status/1446614468616613888")</f>
        <v>https://twitter.com/jordanrossmedia/status/1446614468616613888</v>
      </c>
      <c r="AA7" s="83"/>
      <c r="AB7" s="83"/>
      <c r="AC7" s="87" t="s">
        <v>301</v>
      </c>
      <c r="AD7" s="87" t="s">
        <v>308</v>
      </c>
      <c r="AE7" s="83" t="b">
        <v>0</v>
      </c>
      <c r="AF7" s="83">
        <v>1</v>
      </c>
      <c r="AG7" s="87" t="s">
        <v>313</v>
      </c>
      <c r="AH7" s="83" t="b">
        <v>0</v>
      </c>
      <c r="AI7" s="83" t="s">
        <v>317</v>
      </c>
      <c r="AJ7" s="83"/>
      <c r="AK7" s="87" t="s">
        <v>312</v>
      </c>
      <c r="AL7" s="83" t="b">
        <v>0</v>
      </c>
      <c r="AM7" s="83">
        <v>0</v>
      </c>
      <c r="AN7" s="87" t="s">
        <v>312</v>
      </c>
      <c r="AO7" s="87" t="s">
        <v>323</v>
      </c>
      <c r="AP7" s="83" t="b">
        <v>0</v>
      </c>
      <c r="AQ7" s="87" t="s">
        <v>308</v>
      </c>
      <c r="AR7" s="83" t="s">
        <v>196</v>
      </c>
      <c r="AS7" s="83">
        <v>0</v>
      </c>
      <c r="AT7" s="83">
        <v>0</v>
      </c>
      <c r="AU7" s="83"/>
      <c r="AV7" s="83"/>
      <c r="AW7" s="83"/>
      <c r="AX7" s="83"/>
      <c r="AY7" s="83"/>
      <c r="AZ7" s="83"/>
      <c r="BA7" s="83"/>
      <c r="BB7" s="83"/>
      <c r="BC7">
        <v>1</v>
      </c>
      <c r="BD7" s="82" t="str">
        <f>REPLACE(INDEX(GroupVertices[Group],MATCH(Edges25[[#This Row],[Vertex 1]],GroupVertices[Vertex],0)),1,1,"")</f>
        <v>5</v>
      </c>
      <c r="BE7" s="82" t="str">
        <f>REPLACE(INDEX(GroupVertices[Group],MATCH(Edges25[[#This Row],[Vertex 2]],GroupVertices[Vertex],0)),1,1,"")</f>
        <v>5</v>
      </c>
      <c r="BF7" s="51">
        <v>1</v>
      </c>
      <c r="BG7" s="52">
        <v>5</v>
      </c>
      <c r="BH7" s="51">
        <v>2</v>
      </c>
      <c r="BI7" s="52">
        <v>10</v>
      </c>
      <c r="BJ7" s="51">
        <v>0</v>
      </c>
      <c r="BK7" s="52">
        <v>0</v>
      </c>
      <c r="BL7" s="51">
        <v>17</v>
      </c>
      <c r="BM7" s="52">
        <v>85</v>
      </c>
      <c r="BN7" s="51">
        <v>20</v>
      </c>
    </row>
    <row r="8" spans="1:66" ht="15">
      <c r="A8" s="81" t="s">
        <v>237</v>
      </c>
      <c r="B8" s="81" t="s">
        <v>244</v>
      </c>
      <c r="C8" s="53"/>
      <c r="D8" s="54"/>
      <c r="E8" s="53"/>
      <c r="F8" s="55"/>
      <c r="G8" s="53"/>
      <c r="H8" s="57"/>
      <c r="I8" s="56"/>
      <c r="J8" s="56"/>
      <c r="K8" s="36" t="s">
        <v>65</v>
      </c>
      <c r="L8" s="62">
        <v>8</v>
      </c>
      <c r="M8" s="62"/>
      <c r="N8" s="63"/>
      <c r="O8" s="83" t="s">
        <v>273</v>
      </c>
      <c r="P8" s="85">
        <v>44478.695185185185</v>
      </c>
      <c r="Q8" s="83" t="s">
        <v>280</v>
      </c>
      <c r="R8" s="83"/>
      <c r="S8" s="83"/>
      <c r="T8" s="83"/>
      <c r="U8" s="86" t="str">
        <f>HYPERLINK("https://pbs.twimg.com/media/FBRYOanX0AQOhR2.jpg")</f>
        <v>https://pbs.twimg.com/media/FBRYOanX0AQOhR2.jpg</v>
      </c>
      <c r="V8" s="86" t="str">
        <f>HYPERLINK("https://pbs.twimg.com/media/FBRYOanX0AQOhR2.jpg")</f>
        <v>https://pbs.twimg.com/media/FBRYOanX0AQOhR2.jpg</v>
      </c>
      <c r="W8" s="85">
        <v>44478.695185185185</v>
      </c>
      <c r="X8" s="90">
        <v>44478</v>
      </c>
      <c r="Y8" s="87" t="s">
        <v>292</v>
      </c>
      <c r="Z8" s="86" t="str">
        <f>HYPERLINK("https://twitter.com/naturaize/status/1446878389135106054")</f>
        <v>https://twitter.com/naturaize/status/1446878389135106054</v>
      </c>
      <c r="AA8" s="83"/>
      <c r="AB8" s="83"/>
      <c r="AC8" s="87" t="s">
        <v>302</v>
      </c>
      <c r="AD8" s="87" t="s">
        <v>309</v>
      </c>
      <c r="AE8" s="83" t="b">
        <v>0</v>
      </c>
      <c r="AF8" s="83">
        <v>6</v>
      </c>
      <c r="AG8" s="87" t="s">
        <v>314</v>
      </c>
      <c r="AH8" s="83" t="b">
        <v>0</v>
      </c>
      <c r="AI8" s="83" t="s">
        <v>318</v>
      </c>
      <c r="AJ8" s="83"/>
      <c r="AK8" s="87" t="s">
        <v>312</v>
      </c>
      <c r="AL8" s="83" t="b">
        <v>0</v>
      </c>
      <c r="AM8" s="83">
        <v>1</v>
      </c>
      <c r="AN8" s="87" t="s">
        <v>312</v>
      </c>
      <c r="AO8" s="87" t="s">
        <v>324</v>
      </c>
      <c r="AP8" s="83" t="b">
        <v>0</v>
      </c>
      <c r="AQ8" s="87" t="s">
        <v>309</v>
      </c>
      <c r="AR8" s="83" t="s">
        <v>196</v>
      </c>
      <c r="AS8" s="83">
        <v>0</v>
      </c>
      <c r="AT8" s="83">
        <v>0</v>
      </c>
      <c r="AU8" s="83"/>
      <c r="AV8" s="83"/>
      <c r="AW8" s="83"/>
      <c r="AX8" s="83"/>
      <c r="AY8" s="83"/>
      <c r="AZ8" s="83"/>
      <c r="BA8" s="83"/>
      <c r="BB8" s="83"/>
      <c r="BC8">
        <v>1</v>
      </c>
      <c r="BD8" s="82" t="str">
        <f>REPLACE(INDEX(GroupVertices[Group],MATCH(Edges25[[#This Row],[Vertex 1]],GroupVertices[Vertex],0)),1,1,"")</f>
        <v>1</v>
      </c>
      <c r="BE8" s="82" t="str">
        <f>REPLACE(INDEX(GroupVertices[Group],MATCH(Edges25[[#This Row],[Vertex 2]],GroupVertices[Vertex],0)),1,1,"")</f>
        <v>1</v>
      </c>
      <c r="BF8" s="51"/>
      <c r="BG8" s="52"/>
      <c r="BH8" s="51"/>
      <c r="BI8" s="52"/>
      <c r="BJ8" s="51"/>
      <c r="BK8" s="52"/>
      <c r="BL8" s="51"/>
      <c r="BM8" s="52"/>
      <c r="BN8" s="51"/>
    </row>
    <row r="9" spans="1:66" ht="15">
      <c r="A9" s="81" t="s">
        <v>238</v>
      </c>
      <c r="B9" s="81" t="s">
        <v>244</v>
      </c>
      <c r="C9" s="53"/>
      <c r="D9" s="54"/>
      <c r="E9" s="53"/>
      <c r="F9" s="55"/>
      <c r="G9" s="53"/>
      <c r="H9" s="57"/>
      <c r="I9" s="56"/>
      <c r="J9" s="56"/>
      <c r="K9" s="36" t="s">
        <v>65</v>
      </c>
      <c r="L9" s="62">
        <v>9</v>
      </c>
      <c r="M9" s="62"/>
      <c r="N9" s="63"/>
      <c r="O9" s="83" t="s">
        <v>274</v>
      </c>
      <c r="P9" s="85">
        <v>44478.70872685185</v>
      </c>
      <c r="Q9" s="83" t="s">
        <v>280</v>
      </c>
      <c r="R9" s="83"/>
      <c r="S9" s="83"/>
      <c r="T9" s="83"/>
      <c r="U9" s="86" t="str">
        <f>HYPERLINK("https://pbs.twimg.com/media/FBRYOanX0AQOhR2.jpg")</f>
        <v>https://pbs.twimg.com/media/FBRYOanX0AQOhR2.jpg</v>
      </c>
      <c r="V9" s="86" t="str">
        <f>HYPERLINK("https://pbs.twimg.com/media/FBRYOanX0AQOhR2.jpg")</f>
        <v>https://pbs.twimg.com/media/FBRYOanX0AQOhR2.jpg</v>
      </c>
      <c r="W9" s="85">
        <v>44478.70872685185</v>
      </c>
      <c r="X9" s="90">
        <v>44478</v>
      </c>
      <c r="Y9" s="87" t="s">
        <v>293</v>
      </c>
      <c r="Z9" s="86" t="str">
        <f>HYPERLINK("https://twitter.com/raaga31280/status/1446883298274250754")</f>
        <v>https://twitter.com/raaga31280/status/1446883298274250754</v>
      </c>
      <c r="AA9" s="83"/>
      <c r="AB9" s="83"/>
      <c r="AC9" s="87" t="s">
        <v>303</v>
      </c>
      <c r="AD9" s="83"/>
      <c r="AE9" s="83" t="b">
        <v>0</v>
      </c>
      <c r="AF9" s="83">
        <v>0</v>
      </c>
      <c r="AG9" s="87" t="s">
        <v>312</v>
      </c>
      <c r="AH9" s="83" t="b">
        <v>0</v>
      </c>
      <c r="AI9" s="83" t="s">
        <v>318</v>
      </c>
      <c r="AJ9" s="83"/>
      <c r="AK9" s="87" t="s">
        <v>312</v>
      </c>
      <c r="AL9" s="83" t="b">
        <v>0</v>
      </c>
      <c r="AM9" s="83">
        <v>1</v>
      </c>
      <c r="AN9" s="87" t="s">
        <v>302</v>
      </c>
      <c r="AO9" s="87" t="s">
        <v>323</v>
      </c>
      <c r="AP9" s="83" t="b">
        <v>0</v>
      </c>
      <c r="AQ9" s="87" t="s">
        <v>302</v>
      </c>
      <c r="AR9" s="83" t="s">
        <v>196</v>
      </c>
      <c r="AS9" s="83">
        <v>0</v>
      </c>
      <c r="AT9" s="83">
        <v>0</v>
      </c>
      <c r="AU9" s="83"/>
      <c r="AV9" s="83"/>
      <c r="AW9" s="83"/>
      <c r="AX9" s="83"/>
      <c r="AY9" s="83"/>
      <c r="AZ9" s="83"/>
      <c r="BA9" s="83"/>
      <c r="BB9" s="83"/>
      <c r="BC9">
        <v>1</v>
      </c>
      <c r="BD9" s="82" t="str">
        <f>REPLACE(INDEX(GroupVertices[Group],MATCH(Edges25[[#This Row],[Vertex 1]],GroupVertices[Vertex],0)),1,1,"")</f>
        <v>1</v>
      </c>
      <c r="BE9" s="82" t="str">
        <f>REPLACE(INDEX(GroupVertices[Group],MATCH(Edges25[[#This Row],[Vertex 2]],GroupVertices[Vertex],0)),1,1,"")</f>
        <v>1</v>
      </c>
      <c r="BF9" s="51"/>
      <c r="BG9" s="52"/>
      <c r="BH9" s="51"/>
      <c r="BI9" s="52"/>
      <c r="BJ9" s="51"/>
      <c r="BK9" s="52"/>
      <c r="BL9" s="51"/>
      <c r="BM9" s="52"/>
      <c r="BN9" s="51"/>
    </row>
    <row r="10" spans="1:66" ht="15">
      <c r="A10" s="81" t="s">
        <v>239</v>
      </c>
      <c r="B10" s="81" t="s">
        <v>239</v>
      </c>
      <c r="C10" s="53"/>
      <c r="D10" s="54"/>
      <c r="E10" s="53"/>
      <c r="F10" s="55"/>
      <c r="G10" s="53"/>
      <c r="H10" s="57"/>
      <c r="I10" s="56"/>
      <c r="J10" s="56"/>
      <c r="K10" s="36" t="s">
        <v>65</v>
      </c>
      <c r="L10" s="62">
        <v>60</v>
      </c>
      <c r="M10" s="62"/>
      <c r="N10" s="63"/>
      <c r="O10" s="83" t="s">
        <v>196</v>
      </c>
      <c r="P10" s="85">
        <v>44479.608402777776</v>
      </c>
      <c r="Q10" s="83" t="s">
        <v>281</v>
      </c>
      <c r="R10" s="83"/>
      <c r="S10" s="83"/>
      <c r="T10" s="87" t="s">
        <v>286</v>
      </c>
      <c r="U10" s="83"/>
      <c r="V10" s="86" t="str">
        <f>HYPERLINK("https://pbs.twimg.com/profile_images/973676208796860416/LXmaaDQY_normal.jpg")</f>
        <v>https://pbs.twimg.com/profile_images/973676208796860416/LXmaaDQY_normal.jpg</v>
      </c>
      <c r="W10" s="85">
        <v>44479.608402777776</v>
      </c>
      <c r="X10" s="90">
        <v>44479</v>
      </c>
      <c r="Y10" s="87" t="s">
        <v>294</v>
      </c>
      <c r="Z10" s="86" t="str">
        <f>HYPERLINK("https://twitter.com/deitygalaxy/status/1447209327442468865")</f>
        <v>https://twitter.com/deitygalaxy/status/1447209327442468865</v>
      </c>
      <c r="AA10" s="83"/>
      <c r="AB10" s="83"/>
      <c r="AC10" s="87" t="s">
        <v>304</v>
      </c>
      <c r="AD10" s="83"/>
      <c r="AE10" s="83" t="b">
        <v>0</v>
      </c>
      <c r="AF10" s="83">
        <v>0</v>
      </c>
      <c r="AG10" s="87" t="s">
        <v>312</v>
      </c>
      <c r="AH10" s="83" t="b">
        <v>0</v>
      </c>
      <c r="AI10" s="83" t="s">
        <v>317</v>
      </c>
      <c r="AJ10" s="83"/>
      <c r="AK10" s="87" t="s">
        <v>312</v>
      </c>
      <c r="AL10" s="83" t="b">
        <v>0</v>
      </c>
      <c r="AM10" s="83">
        <v>0</v>
      </c>
      <c r="AN10" s="87" t="s">
        <v>312</v>
      </c>
      <c r="AO10" s="87" t="s">
        <v>239</v>
      </c>
      <c r="AP10" s="83" t="b">
        <v>0</v>
      </c>
      <c r="AQ10" s="87" t="s">
        <v>304</v>
      </c>
      <c r="AR10" s="83" t="s">
        <v>196</v>
      </c>
      <c r="AS10" s="83">
        <v>0</v>
      </c>
      <c r="AT10" s="83">
        <v>0</v>
      </c>
      <c r="AU10" s="83"/>
      <c r="AV10" s="83"/>
      <c r="AW10" s="83"/>
      <c r="AX10" s="83"/>
      <c r="AY10" s="83"/>
      <c r="AZ10" s="83"/>
      <c r="BA10" s="83"/>
      <c r="BB10" s="83"/>
      <c r="BC10">
        <v>1</v>
      </c>
      <c r="BD10" s="82" t="str">
        <f>REPLACE(INDEX(GroupVertices[Group],MATCH(Edges25[[#This Row],[Vertex 1]],GroupVertices[Vertex],0)),1,1,"")</f>
        <v>2</v>
      </c>
      <c r="BE10" s="82" t="str">
        <f>REPLACE(INDEX(GroupVertices[Group],MATCH(Edges25[[#This Row],[Vertex 2]],GroupVertices[Vertex],0)),1,1,"")</f>
        <v>2</v>
      </c>
      <c r="BF10" s="51">
        <v>0</v>
      </c>
      <c r="BG10" s="52">
        <v>0</v>
      </c>
      <c r="BH10" s="51">
        <v>1</v>
      </c>
      <c r="BI10" s="52">
        <v>6.25</v>
      </c>
      <c r="BJ10" s="51">
        <v>0</v>
      </c>
      <c r="BK10" s="52">
        <v>0</v>
      </c>
      <c r="BL10" s="51">
        <v>15</v>
      </c>
      <c r="BM10" s="52">
        <v>93.75</v>
      </c>
      <c r="BN10" s="51">
        <v>16</v>
      </c>
    </row>
    <row r="11" spans="1:66" ht="15">
      <c r="A11" s="81" t="s">
        <v>240</v>
      </c>
      <c r="B11" s="81" t="s">
        <v>269</v>
      </c>
      <c r="C11" s="53"/>
      <c r="D11" s="54"/>
      <c r="E11" s="53"/>
      <c r="F11" s="55"/>
      <c r="G11" s="53"/>
      <c r="H11" s="57"/>
      <c r="I11" s="56"/>
      <c r="J11" s="56"/>
      <c r="K11" s="36" t="s">
        <v>65</v>
      </c>
      <c r="L11" s="62">
        <v>61</v>
      </c>
      <c r="M11" s="62"/>
      <c r="N11" s="63"/>
      <c r="O11" s="83" t="s">
        <v>273</v>
      </c>
      <c r="P11" s="85">
        <v>44481.2121412037</v>
      </c>
      <c r="Q11" s="83" t="s">
        <v>282</v>
      </c>
      <c r="R11" s="83"/>
      <c r="S11" s="83"/>
      <c r="T11" s="87" t="s">
        <v>287</v>
      </c>
      <c r="U11" s="86" t="str">
        <f>HYPERLINK("https://pbs.twimg.com/media/FBeVyh5XoAUewJp.jpg")</f>
        <v>https://pbs.twimg.com/media/FBeVyh5XoAUewJp.jpg</v>
      </c>
      <c r="V11" s="86" t="str">
        <f>HYPERLINK("https://pbs.twimg.com/media/FBeVyh5XoAUewJp.jpg")</f>
        <v>https://pbs.twimg.com/media/FBeVyh5XoAUewJp.jpg</v>
      </c>
      <c r="W11" s="85">
        <v>44481.2121412037</v>
      </c>
      <c r="X11" s="90">
        <v>44481</v>
      </c>
      <c r="Y11" s="87" t="s">
        <v>295</v>
      </c>
      <c r="Z11" s="86" t="str">
        <f>HYPERLINK("https://twitter.com/hilton_philip/status/1447790506075885568")</f>
        <v>https://twitter.com/hilton_philip/status/1447790506075885568</v>
      </c>
      <c r="AA11" s="83"/>
      <c r="AB11" s="83"/>
      <c r="AC11" s="87" t="s">
        <v>305</v>
      </c>
      <c r="AD11" s="87" t="s">
        <v>310</v>
      </c>
      <c r="AE11" s="83" t="b">
        <v>0</v>
      </c>
      <c r="AF11" s="83">
        <v>0</v>
      </c>
      <c r="AG11" s="87" t="s">
        <v>315</v>
      </c>
      <c r="AH11" s="83" t="b">
        <v>0</v>
      </c>
      <c r="AI11" s="83" t="s">
        <v>317</v>
      </c>
      <c r="AJ11" s="83"/>
      <c r="AK11" s="87" t="s">
        <v>312</v>
      </c>
      <c r="AL11" s="83" t="b">
        <v>0</v>
      </c>
      <c r="AM11" s="83">
        <v>0</v>
      </c>
      <c r="AN11" s="87" t="s">
        <v>312</v>
      </c>
      <c r="AO11" s="87" t="s">
        <v>324</v>
      </c>
      <c r="AP11" s="83" t="b">
        <v>0</v>
      </c>
      <c r="AQ11" s="87" t="s">
        <v>310</v>
      </c>
      <c r="AR11" s="83" t="s">
        <v>196</v>
      </c>
      <c r="AS11" s="83">
        <v>0</v>
      </c>
      <c r="AT11" s="83">
        <v>0</v>
      </c>
      <c r="AU11" s="83"/>
      <c r="AV11" s="83"/>
      <c r="AW11" s="83"/>
      <c r="AX11" s="83"/>
      <c r="AY11" s="83"/>
      <c r="AZ11" s="83"/>
      <c r="BA11" s="83"/>
      <c r="BB11" s="83"/>
      <c r="BC11">
        <v>1</v>
      </c>
      <c r="BD11" s="82" t="str">
        <f>REPLACE(INDEX(GroupVertices[Group],MATCH(Edges25[[#This Row],[Vertex 1]],GroupVertices[Vertex],0)),1,1,"")</f>
        <v>3</v>
      </c>
      <c r="BE11" s="82" t="str">
        <f>REPLACE(INDEX(GroupVertices[Group],MATCH(Edges25[[#This Row],[Vertex 2]],GroupVertices[Vertex],0)),1,1,"")</f>
        <v>3</v>
      </c>
      <c r="BF11" s="51"/>
      <c r="BG11" s="52"/>
      <c r="BH11" s="51"/>
      <c r="BI11" s="52"/>
      <c r="BJ11" s="51"/>
      <c r="BK11" s="52"/>
      <c r="BL11" s="51"/>
      <c r="BM11" s="52"/>
      <c r="BN11" s="51"/>
    </row>
    <row r="12" spans="1:66" ht="15">
      <c r="A12" s="81" t="s">
        <v>241</v>
      </c>
      <c r="B12" s="81" t="s">
        <v>271</v>
      </c>
      <c r="C12" s="53"/>
      <c r="D12" s="54"/>
      <c r="E12" s="53"/>
      <c r="F12" s="55"/>
      <c r="G12" s="53"/>
      <c r="H12" s="57"/>
      <c r="I12" s="56"/>
      <c r="J12" s="56"/>
      <c r="K12" s="36" t="s">
        <v>65</v>
      </c>
      <c r="L12" s="62">
        <v>63</v>
      </c>
      <c r="M12" s="62"/>
      <c r="N12" s="63"/>
      <c r="O12" s="83" t="s">
        <v>272</v>
      </c>
      <c r="P12" s="85">
        <v>44481.71864583333</v>
      </c>
      <c r="Q12" s="83" t="s">
        <v>283</v>
      </c>
      <c r="R12" s="83"/>
      <c r="S12" s="83"/>
      <c r="T12" s="83"/>
      <c r="U12" s="83"/>
      <c r="V12" s="86" t="str">
        <f>HYPERLINK("https://pbs.twimg.com/profile_images/1428396752495861765/dWSH_W-8_normal.jpg")</f>
        <v>https://pbs.twimg.com/profile_images/1428396752495861765/dWSH_W-8_normal.jpg</v>
      </c>
      <c r="W12" s="85">
        <v>44481.71864583333</v>
      </c>
      <c r="X12" s="90">
        <v>44481</v>
      </c>
      <c r="Y12" s="87" t="s">
        <v>296</v>
      </c>
      <c r="Z12" s="86" t="str">
        <f>HYPERLINK("https://twitter.com/ajumzu/status/1447974055106252807")</f>
        <v>https://twitter.com/ajumzu/status/1447974055106252807</v>
      </c>
      <c r="AA12" s="83"/>
      <c r="AB12" s="83"/>
      <c r="AC12" s="87" t="s">
        <v>306</v>
      </c>
      <c r="AD12" s="87" t="s">
        <v>311</v>
      </c>
      <c r="AE12" s="83" t="b">
        <v>0</v>
      </c>
      <c r="AF12" s="83">
        <v>0</v>
      </c>
      <c r="AG12" s="87" t="s">
        <v>316</v>
      </c>
      <c r="AH12" s="83" t="b">
        <v>0</v>
      </c>
      <c r="AI12" s="83" t="s">
        <v>317</v>
      </c>
      <c r="AJ12" s="83"/>
      <c r="AK12" s="87" t="s">
        <v>312</v>
      </c>
      <c r="AL12" s="83" t="b">
        <v>0</v>
      </c>
      <c r="AM12" s="83">
        <v>0</v>
      </c>
      <c r="AN12" s="87" t="s">
        <v>312</v>
      </c>
      <c r="AO12" s="87" t="s">
        <v>323</v>
      </c>
      <c r="AP12" s="83" t="b">
        <v>0</v>
      </c>
      <c r="AQ12" s="87" t="s">
        <v>311</v>
      </c>
      <c r="AR12" s="83" t="s">
        <v>196</v>
      </c>
      <c r="AS12" s="83">
        <v>0</v>
      </c>
      <c r="AT12" s="83">
        <v>0</v>
      </c>
      <c r="AU12" s="83"/>
      <c r="AV12" s="83"/>
      <c r="AW12" s="83"/>
      <c r="AX12" s="83"/>
      <c r="AY12" s="83"/>
      <c r="AZ12" s="83"/>
      <c r="BA12" s="83"/>
      <c r="BB12" s="83"/>
      <c r="BC12">
        <v>1</v>
      </c>
      <c r="BD12" s="82" t="str">
        <f>REPLACE(INDEX(GroupVertices[Group],MATCH(Edges25[[#This Row],[Vertex 1]],GroupVertices[Vertex],0)),1,1,"")</f>
        <v>4</v>
      </c>
      <c r="BE12" s="82" t="str">
        <f>REPLACE(INDEX(GroupVertices[Group],MATCH(Edges25[[#This Row],[Vertex 2]],GroupVertices[Vertex],0)),1,1,"")</f>
        <v>4</v>
      </c>
      <c r="BF12" s="51">
        <v>0</v>
      </c>
      <c r="BG12" s="52">
        <v>0</v>
      </c>
      <c r="BH12" s="51">
        <v>1</v>
      </c>
      <c r="BI12" s="52">
        <v>2.9411764705882355</v>
      </c>
      <c r="BJ12" s="51">
        <v>0</v>
      </c>
      <c r="BK12" s="52">
        <v>0</v>
      </c>
      <c r="BL12" s="51">
        <v>33</v>
      </c>
      <c r="BM12" s="52">
        <v>97.05882352941177</v>
      </c>
      <c r="BN12" s="51">
        <v>34</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81AD-98B6-45D4-B862-37883BD41F5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v>
      </c>
      <c r="B1" s="13" t="s">
        <v>34</v>
      </c>
    </row>
    <row r="2" spans="1:2" ht="15">
      <c r="A2" s="115" t="s">
        <v>238</v>
      </c>
      <c r="B2" s="82">
        <v>300</v>
      </c>
    </row>
    <row r="3" spans="1:2" ht="15">
      <c r="A3" s="117" t="s">
        <v>237</v>
      </c>
      <c r="B3" s="82">
        <v>300</v>
      </c>
    </row>
    <row r="4" spans="1:2" ht="15">
      <c r="A4" s="117" t="s">
        <v>240</v>
      </c>
      <c r="B4" s="82">
        <v>2</v>
      </c>
    </row>
    <row r="5" spans="1:2" ht="15">
      <c r="A5" s="117" t="s">
        <v>263</v>
      </c>
      <c r="B5" s="82">
        <v>0</v>
      </c>
    </row>
    <row r="6" spans="1:2" ht="15">
      <c r="A6" s="117" t="s">
        <v>264</v>
      </c>
      <c r="B6" s="82">
        <v>0</v>
      </c>
    </row>
    <row r="7" spans="1:2" ht="15">
      <c r="A7" s="117" t="s">
        <v>262</v>
      </c>
      <c r="B7" s="82">
        <v>0</v>
      </c>
    </row>
    <row r="8" spans="1:2" ht="15">
      <c r="A8" s="117" t="s">
        <v>261</v>
      </c>
      <c r="B8" s="82">
        <v>0</v>
      </c>
    </row>
    <row r="9" spans="1:2" ht="15">
      <c r="A9" s="117" t="s">
        <v>259</v>
      </c>
      <c r="B9" s="82">
        <v>0</v>
      </c>
    </row>
    <row r="10" spans="1:2" ht="15">
      <c r="A10" s="117" t="s">
        <v>258</v>
      </c>
      <c r="B10" s="82">
        <v>0</v>
      </c>
    </row>
    <row r="11" spans="1:2" ht="15">
      <c r="A11" s="117" t="s">
        <v>257</v>
      </c>
      <c r="B11"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78860-986F-4B52-952E-C539418BB07C}">
  <dimension ref="A25:B36"/>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26" t="s">
        <v>783</v>
      </c>
      <c r="B25" t="s">
        <v>782</v>
      </c>
    </row>
    <row r="26" spans="1:2" ht="15">
      <c r="A26" s="127">
        <v>44474.28083333333</v>
      </c>
      <c r="B26" s="3">
        <v>1</v>
      </c>
    </row>
    <row r="27" spans="1:2" ht="15">
      <c r="A27" s="127">
        <v>44474.575740740744</v>
      </c>
      <c r="B27" s="3">
        <v>1</v>
      </c>
    </row>
    <row r="28" spans="1:2" ht="15">
      <c r="A28" s="127">
        <v>44474.620150462964</v>
      </c>
      <c r="B28" s="3">
        <v>1</v>
      </c>
    </row>
    <row r="29" spans="1:2" ht="15">
      <c r="A29" s="127">
        <v>44476.879282407404</v>
      </c>
      <c r="B29" s="3">
        <v>1</v>
      </c>
    </row>
    <row r="30" spans="1:2" ht="15">
      <c r="A30" s="127">
        <v>44477.966898148145</v>
      </c>
      <c r="B30" s="3">
        <v>1</v>
      </c>
    </row>
    <row r="31" spans="1:2" ht="15">
      <c r="A31" s="127">
        <v>44478.695185185185</v>
      </c>
      <c r="B31" s="3">
        <v>1</v>
      </c>
    </row>
    <row r="32" spans="1:2" ht="15">
      <c r="A32" s="127">
        <v>44478.70872685185</v>
      </c>
      <c r="B32" s="3">
        <v>1</v>
      </c>
    </row>
    <row r="33" spans="1:2" ht="15">
      <c r="A33" s="127">
        <v>44479.608402777776</v>
      </c>
      <c r="B33" s="3">
        <v>1</v>
      </c>
    </row>
    <row r="34" spans="1:2" ht="15">
      <c r="A34" s="127">
        <v>44481.2121412037</v>
      </c>
      <c r="B34" s="3">
        <v>1</v>
      </c>
    </row>
    <row r="35" spans="1:2" ht="15">
      <c r="A35" s="127">
        <v>44481.71864583333</v>
      </c>
      <c r="B35" s="3">
        <v>1</v>
      </c>
    </row>
    <row r="36" spans="1:2" ht="15">
      <c r="A36" s="127" t="s">
        <v>784</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7.28125" style="0" customWidth="1"/>
    <col min="56" max="56" width="19.57421875" style="0" customWidth="1"/>
    <col min="57" max="57" width="17.421875" style="0" customWidth="1"/>
    <col min="58" max="58" width="19.57421875" style="0" customWidth="1"/>
    <col min="59" max="59" width="17.57421875" style="0" customWidth="1"/>
    <col min="60" max="60" width="19.57421875" style="0" customWidth="1"/>
    <col min="61" max="61" width="17.28125" style="0" customWidth="1"/>
    <col min="62" max="62" width="19.57421875" style="0" customWidth="1"/>
    <col min="63" max="63" width="19.28125" style="0" customWidth="1"/>
    <col min="64" max="64" width="19.57421875" style="0" customWidth="1"/>
    <col min="65" max="65" width="19.7109375" style="0" customWidth="1"/>
    <col min="66" max="66" width="24.28125" style="0" customWidth="1"/>
    <col min="67" max="67" width="19.7109375" style="0" customWidth="1"/>
    <col min="68" max="68" width="24.28125" style="0" customWidth="1"/>
    <col min="69" max="69" width="19.7109375" style="0" customWidth="1"/>
    <col min="70" max="70" width="24.28125" style="0" customWidth="1"/>
    <col min="71" max="71" width="18.57421875" style="0" customWidth="1"/>
    <col min="72" max="72" width="22.28125" style="0" customWidth="1"/>
    <col min="73" max="73" width="1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340</v>
      </c>
      <c r="AU2" s="13" t="s">
        <v>214</v>
      </c>
      <c r="AV2" s="13" t="s">
        <v>341</v>
      </c>
      <c r="AW2" s="13" t="s">
        <v>342</v>
      </c>
      <c r="AX2" s="13" t="s">
        <v>343</v>
      </c>
      <c r="AY2" s="13" t="s">
        <v>344</v>
      </c>
      <c r="AZ2" s="13" t="s">
        <v>345</v>
      </c>
      <c r="BA2" s="13" t="s">
        <v>346</v>
      </c>
      <c r="BB2" s="13" t="s">
        <v>537</v>
      </c>
      <c r="BC2" s="118" t="s">
        <v>649</v>
      </c>
      <c r="BD2" s="118" t="s">
        <v>650</v>
      </c>
      <c r="BE2" s="118" t="s">
        <v>651</v>
      </c>
      <c r="BF2" s="118" t="s">
        <v>652</v>
      </c>
      <c r="BG2" s="118" t="s">
        <v>653</v>
      </c>
      <c r="BH2" s="118" t="s">
        <v>654</v>
      </c>
      <c r="BI2" s="118" t="s">
        <v>655</v>
      </c>
      <c r="BJ2" s="118" t="s">
        <v>664</v>
      </c>
      <c r="BK2" s="118" t="s">
        <v>665</v>
      </c>
      <c r="BL2" s="118" t="s">
        <v>673</v>
      </c>
      <c r="BM2" s="118" t="s">
        <v>736</v>
      </c>
      <c r="BN2" s="118" t="s">
        <v>737</v>
      </c>
      <c r="BO2" s="118" t="s">
        <v>738</v>
      </c>
      <c r="BP2" s="118" t="s">
        <v>739</v>
      </c>
      <c r="BQ2" s="118" t="s">
        <v>740</v>
      </c>
      <c r="BR2" s="118" t="s">
        <v>741</v>
      </c>
      <c r="BS2" s="118" t="s">
        <v>742</v>
      </c>
      <c r="BT2" s="118" t="s">
        <v>743</v>
      </c>
      <c r="BU2" s="118" t="s">
        <v>745</v>
      </c>
      <c r="BV2" s="3"/>
      <c r="BW2" s="3"/>
    </row>
    <row r="3" spans="1:75" ht="41.45" customHeight="1">
      <c r="A3" s="50" t="s">
        <v>242</v>
      </c>
      <c r="C3" s="53"/>
      <c r="D3" s="53" t="s">
        <v>64</v>
      </c>
      <c r="E3" s="54">
        <v>177.8839747271683</v>
      </c>
      <c r="F3" s="55"/>
      <c r="G3" s="111" t="str">
        <f>HYPERLINK("https://pbs.twimg.com/profile_images/1288065477722296321/837TwWoE_normal.jpg")</f>
        <v>https://pbs.twimg.com/profile_images/1288065477722296321/837TwWoE_normal.jpg</v>
      </c>
      <c r="H3" s="53"/>
      <c r="I3" s="57" t="s">
        <v>242</v>
      </c>
      <c r="J3" s="56"/>
      <c r="K3" s="56"/>
      <c r="L3" s="113" t="s">
        <v>523</v>
      </c>
      <c r="M3" s="59">
        <v>69.39832968074394</v>
      </c>
      <c r="N3" s="60">
        <v>7819.5615234375</v>
      </c>
      <c r="O3" s="60">
        <v>7289.8466796875</v>
      </c>
      <c r="P3" s="58"/>
      <c r="Q3" s="61"/>
      <c r="R3" s="61"/>
      <c r="S3" s="51"/>
      <c r="T3" s="51">
        <v>1</v>
      </c>
      <c r="U3" s="51">
        <v>1</v>
      </c>
      <c r="V3" s="52">
        <v>0</v>
      </c>
      <c r="W3" s="52">
        <v>0</v>
      </c>
      <c r="X3" s="52">
        <v>0</v>
      </c>
      <c r="Y3" s="52">
        <v>0.999987</v>
      </c>
      <c r="Z3" s="52">
        <v>0</v>
      </c>
      <c r="AA3" s="52">
        <v>0</v>
      </c>
      <c r="AB3" s="62">
        <v>3</v>
      </c>
      <c r="AC3" s="62"/>
      <c r="AD3" s="63"/>
      <c r="AE3" s="82" t="s">
        <v>384</v>
      </c>
      <c r="AF3" s="91" t="s">
        <v>418</v>
      </c>
      <c r="AG3" s="82">
        <v>145</v>
      </c>
      <c r="AH3" s="82">
        <v>298</v>
      </c>
      <c r="AI3" s="82">
        <v>3450</v>
      </c>
      <c r="AJ3" s="82">
        <v>9196</v>
      </c>
      <c r="AK3" s="82"/>
      <c r="AL3" s="82" t="s">
        <v>455</v>
      </c>
      <c r="AM3" s="82"/>
      <c r="AN3" s="82"/>
      <c r="AO3" s="82"/>
      <c r="AP3" s="84">
        <v>43196.66030092593</v>
      </c>
      <c r="AQ3" s="88" t="str">
        <f>HYPERLINK("https://pbs.twimg.com/profile_banners/982284503359148032/1611397676")</f>
        <v>https://pbs.twimg.com/profile_banners/982284503359148032/1611397676</v>
      </c>
      <c r="AR3" s="82" t="b">
        <v>0</v>
      </c>
      <c r="AS3" s="82" t="b">
        <v>0</v>
      </c>
      <c r="AT3" s="82" t="b">
        <v>0</v>
      </c>
      <c r="AU3" s="82"/>
      <c r="AV3" s="82">
        <v>2</v>
      </c>
      <c r="AW3" s="88" t="str">
        <f>HYPERLINK("https://abs.twimg.com/images/themes/theme1/bg.png")</f>
        <v>https://abs.twimg.com/images/themes/theme1/bg.png</v>
      </c>
      <c r="AX3" s="82" t="b">
        <v>0</v>
      </c>
      <c r="AY3" s="82" t="s">
        <v>485</v>
      </c>
      <c r="AZ3" s="88" t="str">
        <f>HYPERLINK("https://twitter.com/soph8b")</f>
        <v>https://twitter.com/soph8b</v>
      </c>
      <c r="BA3" s="82" t="s">
        <v>66</v>
      </c>
      <c r="BB3" s="82" t="str">
        <f>REPLACE(INDEX(GroupVertices[Group],MATCH(Vertices[[#This Row],[Vertex]],GroupVertices[Vertex],0)),1,1,"")</f>
        <v>2</v>
      </c>
      <c r="BC3" s="51"/>
      <c r="BD3" s="51"/>
      <c r="BE3" s="51"/>
      <c r="BF3" s="51"/>
      <c r="BG3" s="51"/>
      <c r="BH3" s="51"/>
      <c r="BI3" s="119" t="s">
        <v>656</v>
      </c>
      <c r="BJ3" s="119" t="s">
        <v>656</v>
      </c>
      <c r="BK3" s="119" t="s">
        <v>666</v>
      </c>
      <c r="BL3" s="119" t="s">
        <v>666</v>
      </c>
      <c r="BM3" s="119">
        <v>1</v>
      </c>
      <c r="BN3" s="122">
        <v>2.5</v>
      </c>
      <c r="BO3" s="119">
        <v>2</v>
      </c>
      <c r="BP3" s="122">
        <v>5</v>
      </c>
      <c r="BQ3" s="119">
        <v>0</v>
      </c>
      <c r="BR3" s="122">
        <v>0</v>
      </c>
      <c r="BS3" s="119">
        <v>37</v>
      </c>
      <c r="BT3" s="122">
        <v>92.5</v>
      </c>
      <c r="BU3" s="119">
        <v>40</v>
      </c>
      <c r="BV3" s="3"/>
      <c r="BW3" s="3"/>
    </row>
    <row r="4" spans="1:78" ht="41.45" customHeight="1">
      <c r="A4" s="14" t="s">
        <v>234</v>
      </c>
      <c r="C4" s="15"/>
      <c r="D4" s="15" t="s">
        <v>64</v>
      </c>
      <c r="E4" s="92">
        <v>379.49355871010096</v>
      </c>
      <c r="F4" s="79"/>
      <c r="G4" s="111" t="str">
        <f>HYPERLINK("https://pbs.twimg.com/profile_images/1069637128370483201/BuXpxCEV_normal.jpg")</f>
        <v>https://pbs.twimg.com/profile_images/1069637128370483201/BuXpxCEV_normal.jpg</v>
      </c>
      <c r="H4" s="15"/>
      <c r="I4" s="16" t="s">
        <v>234</v>
      </c>
      <c r="J4" s="67"/>
      <c r="K4" s="67"/>
      <c r="L4" s="113" t="s">
        <v>486</v>
      </c>
      <c r="M4" s="93">
        <v>937.5537522952081</v>
      </c>
      <c r="N4" s="94">
        <v>9008.345703125</v>
      </c>
      <c r="O4" s="94">
        <v>7289.8466796875</v>
      </c>
      <c r="P4" s="78"/>
      <c r="Q4" s="95"/>
      <c r="R4" s="95"/>
      <c r="S4" s="96"/>
      <c r="T4" s="51">
        <v>1</v>
      </c>
      <c r="U4" s="51">
        <v>1</v>
      </c>
      <c r="V4" s="52">
        <v>0</v>
      </c>
      <c r="W4" s="52">
        <v>0</v>
      </c>
      <c r="X4" s="52">
        <v>0</v>
      </c>
      <c r="Y4" s="52">
        <v>0.999987</v>
      </c>
      <c r="Z4" s="52">
        <v>0</v>
      </c>
      <c r="AA4" s="52">
        <v>0</v>
      </c>
      <c r="AB4" s="80">
        <v>4</v>
      </c>
      <c r="AC4" s="80"/>
      <c r="AD4" s="97"/>
      <c r="AE4" s="82" t="s">
        <v>347</v>
      </c>
      <c r="AF4" s="91" t="s">
        <v>385</v>
      </c>
      <c r="AG4" s="82">
        <v>3584</v>
      </c>
      <c r="AH4" s="82">
        <v>3230</v>
      </c>
      <c r="AI4" s="82">
        <v>35026</v>
      </c>
      <c r="AJ4" s="82">
        <v>58951</v>
      </c>
      <c r="AK4" s="82"/>
      <c r="AL4" s="82" t="s">
        <v>419</v>
      </c>
      <c r="AM4" s="82" t="s">
        <v>456</v>
      </c>
      <c r="AN4" s="88" t="str">
        <f>HYPERLINK("https://t.co/RmabawN93M")</f>
        <v>https://t.co/RmabawN93M</v>
      </c>
      <c r="AO4" s="82"/>
      <c r="AP4" s="84">
        <v>39882.61561342593</v>
      </c>
      <c r="AQ4" s="88" t="str">
        <f>HYPERLINK("https://pbs.twimg.com/profile_banners/23600122/1628075486")</f>
        <v>https://pbs.twimg.com/profile_banners/23600122/1628075486</v>
      </c>
      <c r="AR4" s="82" t="b">
        <v>0</v>
      </c>
      <c r="AS4" s="82" t="b">
        <v>0</v>
      </c>
      <c r="AT4" s="82" t="b">
        <v>0</v>
      </c>
      <c r="AU4" s="82"/>
      <c r="AV4" s="82">
        <v>121</v>
      </c>
      <c r="AW4" s="88" t="str">
        <f>HYPERLINK("https://abs.twimg.com/images/themes/theme7/bg.gif")</f>
        <v>https://abs.twimg.com/images/themes/theme7/bg.gif</v>
      </c>
      <c r="AX4" s="82" t="b">
        <v>0</v>
      </c>
      <c r="AY4" s="82" t="s">
        <v>485</v>
      </c>
      <c r="AZ4" s="88" t="str">
        <f>HYPERLINK("https://twitter.com/barbkiser")</f>
        <v>https://twitter.com/barbkiser</v>
      </c>
      <c r="BA4" s="82" t="s">
        <v>66</v>
      </c>
      <c r="BB4" s="82" t="str">
        <f>REPLACE(INDEX(GroupVertices[Group],MATCH(Vertices[[#This Row],[Vertex]],GroupVertices[Vertex],0)),1,1,"")</f>
        <v>2</v>
      </c>
      <c r="BC4" s="51" t="s">
        <v>556</v>
      </c>
      <c r="BD4" s="51" t="s">
        <v>556</v>
      </c>
      <c r="BE4" s="51" t="s">
        <v>285</v>
      </c>
      <c r="BF4" s="51" t="s">
        <v>285</v>
      </c>
      <c r="BG4" s="51"/>
      <c r="BH4" s="51"/>
      <c r="BI4" s="119" t="s">
        <v>657</v>
      </c>
      <c r="BJ4" s="119" t="s">
        <v>657</v>
      </c>
      <c r="BK4" s="119" t="s">
        <v>667</v>
      </c>
      <c r="BL4" s="119" t="s">
        <v>667</v>
      </c>
      <c r="BM4" s="119">
        <v>2</v>
      </c>
      <c r="BN4" s="122">
        <v>2.857142857142857</v>
      </c>
      <c r="BO4" s="119">
        <v>2</v>
      </c>
      <c r="BP4" s="122">
        <v>2.857142857142857</v>
      </c>
      <c r="BQ4" s="119">
        <v>0</v>
      </c>
      <c r="BR4" s="122">
        <v>0</v>
      </c>
      <c r="BS4" s="119">
        <v>66</v>
      </c>
      <c r="BT4" s="122">
        <v>94.28571428571429</v>
      </c>
      <c r="BU4" s="119">
        <v>70</v>
      </c>
      <c r="BV4" s="2"/>
      <c r="BW4" s="3"/>
      <c r="BX4" s="3"/>
      <c r="BY4" s="3"/>
      <c r="BZ4" s="3"/>
    </row>
    <row r="5" spans="1:78" ht="41.45" customHeight="1">
      <c r="A5" s="14" t="s">
        <v>235</v>
      </c>
      <c r="C5" s="15"/>
      <c r="D5" s="15" t="s">
        <v>64</v>
      </c>
      <c r="E5" s="92">
        <v>162</v>
      </c>
      <c r="F5" s="79"/>
      <c r="G5" s="111" t="str">
        <f>HYPERLINK("https://pbs.twimg.com/profile_images/946978016839720963/oGMSwGhV_normal.jpg")</f>
        <v>https://pbs.twimg.com/profile_images/946978016839720963/oGMSwGhV_normal.jpg</v>
      </c>
      <c r="H5" s="15"/>
      <c r="I5" s="16" t="s">
        <v>235</v>
      </c>
      <c r="J5" s="67"/>
      <c r="K5" s="67"/>
      <c r="L5" s="113" t="s">
        <v>487</v>
      </c>
      <c r="M5" s="93">
        <v>1</v>
      </c>
      <c r="N5" s="94">
        <v>7819.5615234375</v>
      </c>
      <c r="O5" s="94">
        <v>8572.44140625</v>
      </c>
      <c r="P5" s="78"/>
      <c r="Q5" s="95"/>
      <c r="R5" s="95"/>
      <c r="S5" s="96"/>
      <c r="T5" s="51">
        <v>1</v>
      </c>
      <c r="U5" s="51">
        <v>1</v>
      </c>
      <c r="V5" s="52">
        <v>0</v>
      </c>
      <c r="W5" s="52">
        <v>0</v>
      </c>
      <c r="X5" s="52">
        <v>0</v>
      </c>
      <c r="Y5" s="52">
        <v>0.999987</v>
      </c>
      <c r="Z5" s="52">
        <v>0</v>
      </c>
      <c r="AA5" s="52">
        <v>0</v>
      </c>
      <c r="AB5" s="80">
        <v>5</v>
      </c>
      <c r="AC5" s="80"/>
      <c r="AD5" s="97"/>
      <c r="AE5" s="82" t="s">
        <v>348</v>
      </c>
      <c r="AF5" s="91" t="s">
        <v>386</v>
      </c>
      <c r="AG5" s="82">
        <v>2</v>
      </c>
      <c r="AH5" s="82">
        <v>67</v>
      </c>
      <c r="AI5" s="82">
        <v>32315</v>
      </c>
      <c r="AJ5" s="82">
        <v>0</v>
      </c>
      <c r="AK5" s="82"/>
      <c r="AL5" s="82" t="s">
        <v>420</v>
      </c>
      <c r="AM5" s="82"/>
      <c r="AN5" s="82"/>
      <c r="AO5" s="82"/>
      <c r="AP5" s="84">
        <v>43099.010613425926</v>
      </c>
      <c r="AQ5" s="88" t="str">
        <f>HYPERLINK("https://pbs.twimg.com/profile_banners/946897442909196288/1514612037")</f>
        <v>https://pbs.twimg.com/profile_banners/946897442909196288/1514612037</v>
      </c>
      <c r="AR5" s="82" t="b">
        <v>1</v>
      </c>
      <c r="AS5" s="82" t="b">
        <v>0</v>
      </c>
      <c r="AT5" s="82" t="b">
        <v>0</v>
      </c>
      <c r="AU5" s="82"/>
      <c r="AV5" s="82">
        <v>4</v>
      </c>
      <c r="AW5" s="82"/>
      <c r="AX5" s="82" t="b">
        <v>0</v>
      </c>
      <c r="AY5" s="82" t="s">
        <v>485</v>
      </c>
      <c r="AZ5" s="88" t="str">
        <f>HYPERLINK("https://twitter.com/crittheorybot")</f>
        <v>https://twitter.com/crittheorybot</v>
      </c>
      <c r="BA5" s="82" t="s">
        <v>66</v>
      </c>
      <c r="BB5" s="82" t="str">
        <f>REPLACE(INDEX(GroupVertices[Group],MATCH(Vertices[[#This Row],[Vertex]],GroupVertices[Vertex],0)),1,1,"")</f>
        <v>2</v>
      </c>
      <c r="BC5" s="51"/>
      <c r="BD5" s="51"/>
      <c r="BE5" s="51"/>
      <c r="BF5" s="51"/>
      <c r="BG5" s="51"/>
      <c r="BH5" s="51"/>
      <c r="BI5" s="119" t="s">
        <v>658</v>
      </c>
      <c r="BJ5" s="119" t="s">
        <v>658</v>
      </c>
      <c r="BK5" s="119" t="s">
        <v>668</v>
      </c>
      <c r="BL5" s="119" t="s">
        <v>668</v>
      </c>
      <c r="BM5" s="119">
        <v>0</v>
      </c>
      <c r="BN5" s="122">
        <v>0</v>
      </c>
      <c r="BO5" s="119">
        <v>0</v>
      </c>
      <c r="BP5" s="122">
        <v>0</v>
      </c>
      <c r="BQ5" s="119">
        <v>0</v>
      </c>
      <c r="BR5" s="122">
        <v>0</v>
      </c>
      <c r="BS5" s="119">
        <v>13</v>
      </c>
      <c r="BT5" s="122">
        <v>100</v>
      </c>
      <c r="BU5" s="119">
        <v>13</v>
      </c>
      <c r="BV5" s="2"/>
      <c r="BW5" s="3"/>
      <c r="BX5" s="3"/>
      <c r="BY5" s="3"/>
      <c r="BZ5" s="3"/>
    </row>
    <row r="6" spans="1:78" ht="41.45" customHeight="1">
      <c r="A6" s="14" t="s">
        <v>236</v>
      </c>
      <c r="C6" s="15"/>
      <c r="D6" s="15" t="s">
        <v>64</v>
      </c>
      <c r="E6" s="92">
        <v>339.54295560843525</v>
      </c>
      <c r="F6" s="79"/>
      <c r="G6" s="111" t="str">
        <f>HYPERLINK("https://pbs.twimg.com/profile_images/1420534073571700740/RkGo6Y0a_normal.jpg")</f>
        <v>https://pbs.twimg.com/profile_images/1420534073571700740/RkGo6Y0a_normal.jpg</v>
      </c>
      <c r="H6" s="15"/>
      <c r="I6" s="16" t="s">
        <v>236</v>
      </c>
      <c r="J6" s="67"/>
      <c r="K6" s="67"/>
      <c r="L6" s="113" t="s">
        <v>488</v>
      </c>
      <c r="M6" s="93">
        <v>765.5215897648523</v>
      </c>
      <c r="N6" s="94">
        <v>9246.103515625</v>
      </c>
      <c r="O6" s="94">
        <v>5012.587890625</v>
      </c>
      <c r="P6" s="78"/>
      <c r="Q6" s="95"/>
      <c r="R6" s="95"/>
      <c r="S6" s="96"/>
      <c r="T6" s="51">
        <v>0</v>
      </c>
      <c r="U6" s="51">
        <v>1</v>
      </c>
      <c r="V6" s="52">
        <v>0</v>
      </c>
      <c r="W6" s="52">
        <v>1</v>
      </c>
      <c r="X6" s="52">
        <v>0</v>
      </c>
      <c r="Y6" s="52">
        <v>0.999987</v>
      </c>
      <c r="Z6" s="52">
        <v>0</v>
      </c>
      <c r="AA6" s="52">
        <v>0</v>
      </c>
      <c r="AB6" s="80">
        <v>6</v>
      </c>
      <c r="AC6" s="80"/>
      <c r="AD6" s="97"/>
      <c r="AE6" s="82" t="s">
        <v>349</v>
      </c>
      <c r="AF6" s="91" t="s">
        <v>387</v>
      </c>
      <c r="AG6" s="82">
        <v>1562</v>
      </c>
      <c r="AH6" s="82">
        <v>2649</v>
      </c>
      <c r="AI6" s="82">
        <v>9435</v>
      </c>
      <c r="AJ6" s="82">
        <v>57399</v>
      </c>
      <c r="AK6" s="82"/>
      <c r="AL6" s="82" t="s">
        <v>421</v>
      </c>
      <c r="AM6" s="82" t="s">
        <v>457</v>
      </c>
      <c r="AN6" s="88" t="str">
        <f>HYPERLINK("https://t.co/nfkBHcys14")</f>
        <v>https://t.co/nfkBHcys14</v>
      </c>
      <c r="AO6" s="82"/>
      <c r="AP6" s="84">
        <v>39924.11053240741</v>
      </c>
      <c r="AQ6" s="88" t="str">
        <f>HYPERLINK("https://pbs.twimg.com/profile_banners/33779166/1631561830")</f>
        <v>https://pbs.twimg.com/profile_banners/33779166/1631561830</v>
      </c>
      <c r="AR6" s="82" t="b">
        <v>0</v>
      </c>
      <c r="AS6" s="82" t="b">
        <v>0</v>
      </c>
      <c r="AT6" s="82" t="b">
        <v>1</v>
      </c>
      <c r="AU6" s="82"/>
      <c r="AV6" s="82">
        <v>53</v>
      </c>
      <c r="AW6" s="88" t="str">
        <f>HYPERLINK("https://abs.twimg.com/images/themes/theme15/bg.png")</f>
        <v>https://abs.twimg.com/images/themes/theme15/bg.png</v>
      </c>
      <c r="AX6" s="82" t="b">
        <v>0</v>
      </c>
      <c r="AY6" s="82" t="s">
        <v>485</v>
      </c>
      <c r="AZ6" s="88" t="str">
        <f>HYPERLINK("https://twitter.com/jordanrossmedia")</f>
        <v>https://twitter.com/jordanrossmedia</v>
      </c>
      <c r="BA6" s="82" t="s">
        <v>66</v>
      </c>
      <c r="BB6" s="82" t="str">
        <f>REPLACE(INDEX(GroupVertices[Group],MATCH(Vertices[[#This Row],[Vertex]],GroupVertices[Vertex],0)),1,1,"")</f>
        <v>5</v>
      </c>
      <c r="BC6" s="51"/>
      <c r="BD6" s="51"/>
      <c r="BE6" s="51"/>
      <c r="BF6" s="51"/>
      <c r="BG6" s="51"/>
      <c r="BH6" s="51"/>
      <c r="BI6" s="119" t="s">
        <v>659</v>
      </c>
      <c r="BJ6" s="119" t="s">
        <v>659</v>
      </c>
      <c r="BK6" s="119" t="s">
        <v>669</v>
      </c>
      <c r="BL6" s="119" t="s">
        <v>669</v>
      </c>
      <c r="BM6" s="119">
        <v>1</v>
      </c>
      <c r="BN6" s="122">
        <v>5</v>
      </c>
      <c r="BO6" s="119">
        <v>2</v>
      </c>
      <c r="BP6" s="122">
        <v>10</v>
      </c>
      <c r="BQ6" s="119">
        <v>0</v>
      </c>
      <c r="BR6" s="122">
        <v>0</v>
      </c>
      <c r="BS6" s="119">
        <v>17</v>
      </c>
      <c r="BT6" s="122">
        <v>85</v>
      </c>
      <c r="BU6" s="119">
        <v>20</v>
      </c>
      <c r="BV6" s="2"/>
      <c r="BW6" s="3"/>
      <c r="BX6" s="3"/>
      <c r="BY6" s="3"/>
      <c r="BZ6" s="3"/>
    </row>
    <row r="7" spans="1:78" ht="41.45" customHeight="1">
      <c r="A7" s="14" t="s">
        <v>243</v>
      </c>
      <c r="C7" s="15"/>
      <c r="D7" s="15" t="s">
        <v>64</v>
      </c>
      <c r="E7" s="92">
        <v>422.1258718306392</v>
      </c>
      <c r="F7" s="79"/>
      <c r="G7" s="111" t="str">
        <f>HYPERLINK("https://pbs.twimg.com/profile_images/1375948500043755523/0hGfGAUH_normal.jpg")</f>
        <v>https://pbs.twimg.com/profile_images/1375948500043755523/0hGfGAUH_normal.jpg</v>
      </c>
      <c r="H7" s="15"/>
      <c r="I7" s="16" t="s">
        <v>243</v>
      </c>
      <c r="J7" s="67"/>
      <c r="K7" s="67"/>
      <c r="L7" s="113" t="s">
        <v>489</v>
      </c>
      <c r="M7" s="93">
        <v>1121.1336847716639</v>
      </c>
      <c r="N7" s="94">
        <v>9246.103515625</v>
      </c>
      <c r="O7" s="94">
        <v>3311.187255859375</v>
      </c>
      <c r="P7" s="78"/>
      <c r="Q7" s="95"/>
      <c r="R7" s="95"/>
      <c r="S7" s="96"/>
      <c r="T7" s="51">
        <v>1</v>
      </c>
      <c r="U7" s="51">
        <v>0</v>
      </c>
      <c r="V7" s="52">
        <v>0</v>
      </c>
      <c r="W7" s="52">
        <v>1</v>
      </c>
      <c r="X7" s="52">
        <v>0</v>
      </c>
      <c r="Y7" s="52">
        <v>0.999987</v>
      </c>
      <c r="Z7" s="52">
        <v>0</v>
      </c>
      <c r="AA7" s="52">
        <v>0</v>
      </c>
      <c r="AB7" s="80">
        <v>7</v>
      </c>
      <c r="AC7" s="80"/>
      <c r="AD7" s="97"/>
      <c r="AE7" s="82" t="s">
        <v>350</v>
      </c>
      <c r="AF7" s="91" t="s">
        <v>313</v>
      </c>
      <c r="AG7" s="82">
        <v>2904</v>
      </c>
      <c r="AH7" s="82">
        <v>3850</v>
      </c>
      <c r="AI7" s="82">
        <v>382</v>
      </c>
      <c r="AJ7" s="82">
        <v>20472</v>
      </c>
      <c r="AK7" s="82"/>
      <c r="AL7" s="82" t="s">
        <v>422</v>
      </c>
      <c r="AM7" s="82" t="s">
        <v>458</v>
      </c>
      <c r="AN7" s="88" t="str">
        <f>HYPERLINK("https://t.co/xpgFpAZgxW")</f>
        <v>https://t.co/xpgFpAZgxW</v>
      </c>
      <c r="AO7" s="82"/>
      <c r="AP7" s="84">
        <v>40470.85822916667</v>
      </c>
      <c r="AQ7" s="88" t="str">
        <f>HYPERLINK("https://pbs.twimg.com/profile_banners/204946416/1587485667")</f>
        <v>https://pbs.twimg.com/profile_banners/204946416/1587485667</v>
      </c>
      <c r="AR7" s="82" t="b">
        <v>0</v>
      </c>
      <c r="AS7" s="82" t="b">
        <v>0</v>
      </c>
      <c r="AT7" s="82" t="b">
        <v>1</v>
      </c>
      <c r="AU7" s="82"/>
      <c r="AV7" s="82">
        <v>97</v>
      </c>
      <c r="AW7" s="88" t="str">
        <f>HYPERLINK("https://abs.twimg.com/images/themes/theme12/bg.gif")</f>
        <v>https://abs.twimg.com/images/themes/theme12/bg.gif</v>
      </c>
      <c r="AX7" s="82" t="b">
        <v>1</v>
      </c>
      <c r="AY7" s="82" t="s">
        <v>485</v>
      </c>
      <c r="AZ7" s="88" t="str">
        <f>HYPERLINK("https://twitter.com/kat_toth")</f>
        <v>https://twitter.com/kat_toth</v>
      </c>
      <c r="BA7" s="82" t="s">
        <v>65</v>
      </c>
      <c r="BB7" s="82" t="str">
        <f>REPLACE(INDEX(GroupVertices[Group],MATCH(Vertices[[#This Row],[Vertex]],GroupVertices[Vertex],0)),1,1,"")</f>
        <v>5</v>
      </c>
      <c r="BC7" s="51"/>
      <c r="BD7" s="51"/>
      <c r="BE7" s="51"/>
      <c r="BF7" s="51"/>
      <c r="BG7" s="51"/>
      <c r="BH7" s="51"/>
      <c r="BI7" s="51"/>
      <c r="BJ7" s="51"/>
      <c r="BK7" s="51"/>
      <c r="BL7" s="51"/>
      <c r="BM7" s="51"/>
      <c r="BN7" s="52"/>
      <c r="BO7" s="51"/>
      <c r="BP7" s="52"/>
      <c r="BQ7" s="51"/>
      <c r="BR7" s="52"/>
      <c r="BS7" s="51"/>
      <c r="BT7" s="52"/>
      <c r="BU7" s="51"/>
      <c r="BV7" s="2"/>
      <c r="BW7" s="3"/>
      <c r="BX7" s="3"/>
      <c r="BY7" s="3"/>
      <c r="BZ7" s="3"/>
    </row>
    <row r="8" spans="1:78" ht="41.45" customHeight="1">
      <c r="A8" s="14" t="s">
        <v>237</v>
      </c>
      <c r="C8" s="15"/>
      <c r="D8" s="15" t="s">
        <v>64</v>
      </c>
      <c r="E8" s="92">
        <v>314.6511856896693</v>
      </c>
      <c r="F8" s="79"/>
      <c r="G8" s="111" t="str">
        <f>HYPERLINK("https://pbs.twimg.com/profile_images/1197849225616334848/SfaXoSyO_normal.jpg")</f>
        <v>https://pbs.twimg.com/profile_images/1197849225616334848/SfaXoSyO_normal.jpg</v>
      </c>
      <c r="H8" s="15"/>
      <c r="I8" s="16" t="s">
        <v>237</v>
      </c>
      <c r="J8" s="67"/>
      <c r="K8" s="67"/>
      <c r="L8" s="113" t="s">
        <v>490</v>
      </c>
      <c r="M8" s="93">
        <v>658.3345969318249</v>
      </c>
      <c r="N8" s="94">
        <v>3511.61328125</v>
      </c>
      <c r="O8" s="94">
        <v>5086.56005859375</v>
      </c>
      <c r="P8" s="78"/>
      <c r="Q8" s="95"/>
      <c r="R8" s="95"/>
      <c r="S8" s="96"/>
      <c r="T8" s="51">
        <v>1</v>
      </c>
      <c r="U8" s="51">
        <v>26</v>
      </c>
      <c r="V8" s="52">
        <v>300</v>
      </c>
      <c r="W8" s="52">
        <v>0.038462</v>
      </c>
      <c r="X8" s="52">
        <v>0.116432</v>
      </c>
      <c r="Y8" s="52">
        <v>6.396735</v>
      </c>
      <c r="Z8" s="52">
        <v>0.038461538461538464</v>
      </c>
      <c r="AA8" s="52">
        <v>0.038461538461538464</v>
      </c>
      <c r="AB8" s="80">
        <v>8</v>
      </c>
      <c r="AC8" s="80"/>
      <c r="AD8" s="97"/>
      <c r="AE8" s="82" t="s">
        <v>351</v>
      </c>
      <c r="AF8" s="91" t="s">
        <v>388</v>
      </c>
      <c r="AG8" s="82">
        <v>4996</v>
      </c>
      <c r="AH8" s="82">
        <v>2287</v>
      </c>
      <c r="AI8" s="82">
        <v>51513</v>
      </c>
      <c r="AJ8" s="82">
        <v>64402</v>
      </c>
      <c r="AK8" s="82"/>
      <c r="AL8" s="82" t="s">
        <v>423</v>
      </c>
      <c r="AM8" s="82" t="s">
        <v>459</v>
      </c>
      <c r="AN8" s="82"/>
      <c r="AO8" s="82"/>
      <c r="AP8" s="84">
        <v>42906.634375</v>
      </c>
      <c r="AQ8" s="88" t="str">
        <f>HYPERLINK("https://pbs.twimg.com/profile_banners/877182626280460288/1573846183")</f>
        <v>https://pbs.twimg.com/profile_banners/877182626280460288/1573846183</v>
      </c>
      <c r="AR8" s="82" t="b">
        <v>0</v>
      </c>
      <c r="AS8" s="82" t="b">
        <v>0</v>
      </c>
      <c r="AT8" s="82" t="b">
        <v>0</v>
      </c>
      <c r="AU8" s="82"/>
      <c r="AV8" s="82">
        <v>8</v>
      </c>
      <c r="AW8" s="88" t="str">
        <f>HYPERLINK("https://abs.twimg.com/images/themes/theme1/bg.png")</f>
        <v>https://abs.twimg.com/images/themes/theme1/bg.png</v>
      </c>
      <c r="AX8" s="82" t="b">
        <v>0</v>
      </c>
      <c r="AY8" s="82" t="s">
        <v>485</v>
      </c>
      <c r="AZ8" s="88" t="str">
        <f>HYPERLINK("https://twitter.com/naturaize")</f>
        <v>https://twitter.com/naturaize</v>
      </c>
      <c r="BA8" s="82" t="s">
        <v>66</v>
      </c>
      <c r="BB8" s="82" t="str">
        <f>REPLACE(INDEX(GroupVertices[Group],MATCH(Vertices[[#This Row],[Vertex]],GroupVertices[Vertex],0)),1,1,"")</f>
        <v>1</v>
      </c>
      <c r="BC8" s="51"/>
      <c r="BD8" s="51"/>
      <c r="BE8" s="51"/>
      <c r="BF8" s="51"/>
      <c r="BG8" s="51"/>
      <c r="BH8" s="51"/>
      <c r="BI8" s="119" t="s">
        <v>660</v>
      </c>
      <c r="BJ8" s="119" t="s">
        <v>660</v>
      </c>
      <c r="BK8" s="119" t="s">
        <v>621</v>
      </c>
      <c r="BL8" s="119" t="s">
        <v>621</v>
      </c>
      <c r="BM8" s="119">
        <v>0</v>
      </c>
      <c r="BN8" s="122">
        <v>0</v>
      </c>
      <c r="BO8" s="119">
        <v>1</v>
      </c>
      <c r="BP8" s="122">
        <v>1.2195121951219512</v>
      </c>
      <c r="BQ8" s="119">
        <v>0</v>
      </c>
      <c r="BR8" s="122">
        <v>0</v>
      </c>
      <c r="BS8" s="119">
        <v>81</v>
      </c>
      <c r="BT8" s="122">
        <v>98.78048780487805</v>
      </c>
      <c r="BU8" s="119">
        <v>82</v>
      </c>
      <c r="BV8" s="2"/>
      <c r="BW8" s="3"/>
      <c r="BX8" s="3"/>
      <c r="BY8" s="3"/>
      <c r="BZ8" s="3"/>
    </row>
    <row r="9" spans="1:78" ht="41.45" customHeight="1">
      <c r="A9" s="14" t="s">
        <v>244</v>
      </c>
      <c r="C9" s="15"/>
      <c r="D9" s="15" t="s">
        <v>64</v>
      </c>
      <c r="E9" s="92">
        <v>997.3182899811275</v>
      </c>
      <c r="F9" s="79"/>
      <c r="G9" s="111" t="str">
        <f>HYPERLINK("https://pbs.twimg.com/profile_images/1446334451668062212/tIKTvXMt_normal.jpg")</f>
        <v>https://pbs.twimg.com/profile_images/1446334451668062212/tIKTvXMt_normal.jpg</v>
      </c>
      <c r="H9" s="15"/>
      <c r="I9" s="16" t="s">
        <v>244</v>
      </c>
      <c r="J9" s="67"/>
      <c r="K9" s="67"/>
      <c r="L9" s="113" t="s">
        <v>491</v>
      </c>
      <c r="M9" s="93">
        <v>3597.9822898773914</v>
      </c>
      <c r="N9" s="94">
        <v>4793.82373046875</v>
      </c>
      <c r="O9" s="94">
        <v>1646.039794921875</v>
      </c>
      <c r="P9" s="78"/>
      <c r="Q9" s="95"/>
      <c r="R9" s="95"/>
      <c r="S9" s="96"/>
      <c r="T9" s="51">
        <v>2</v>
      </c>
      <c r="U9" s="51">
        <v>0</v>
      </c>
      <c r="V9" s="52">
        <v>0</v>
      </c>
      <c r="W9" s="52">
        <v>0.02</v>
      </c>
      <c r="X9" s="52">
        <v>0.030685</v>
      </c>
      <c r="Y9" s="52">
        <v>0.568247</v>
      </c>
      <c r="Z9" s="52">
        <v>1</v>
      </c>
      <c r="AA9" s="52">
        <v>0</v>
      </c>
      <c r="AB9" s="80">
        <v>9</v>
      </c>
      <c r="AC9" s="80"/>
      <c r="AD9" s="97"/>
      <c r="AE9" s="82" t="s">
        <v>352</v>
      </c>
      <c r="AF9" s="91" t="s">
        <v>389</v>
      </c>
      <c r="AG9" s="82">
        <v>363</v>
      </c>
      <c r="AH9" s="82">
        <v>12215</v>
      </c>
      <c r="AI9" s="82">
        <v>44511</v>
      </c>
      <c r="AJ9" s="82">
        <v>239949</v>
      </c>
      <c r="AK9" s="82"/>
      <c r="AL9" s="82" t="s">
        <v>424</v>
      </c>
      <c r="AM9" s="82" t="s">
        <v>460</v>
      </c>
      <c r="AN9" s="82"/>
      <c r="AO9" s="82"/>
      <c r="AP9" s="84">
        <v>41616.34344907408</v>
      </c>
      <c r="AQ9" s="88" t="str">
        <f>HYPERLINK("https://pbs.twimg.com/profile_banners/2235722090/1620993113")</f>
        <v>https://pbs.twimg.com/profile_banners/2235722090/1620993113</v>
      </c>
      <c r="AR9" s="82" t="b">
        <v>1</v>
      </c>
      <c r="AS9" s="82" t="b">
        <v>0</v>
      </c>
      <c r="AT9" s="82" t="b">
        <v>0</v>
      </c>
      <c r="AU9" s="82"/>
      <c r="AV9" s="82">
        <v>0</v>
      </c>
      <c r="AW9" s="88" t="str">
        <f>HYPERLINK("https://abs.twimg.com/images/themes/theme1/bg.png")</f>
        <v>https://abs.twimg.com/images/themes/theme1/bg.png</v>
      </c>
      <c r="AX9" s="82" t="b">
        <v>0</v>
      </c>
      <c r="AY9" s="82" t="s">
        <v>485</v>
      </c>
      <c r="AZ9" s="88" t="str">
        <f>HYPERLINK("https://twitter.com/ssbalu6465")</f>
        <v>https://twitter.com/ssbalu6465</v>
      </c>
      <c r="BA9" s="82" t="s">
        <v>65</v>
      </c>
      <c r="BB9" s="82" t="str">
        <f>REPLACE(INDEX(GroupVertices[Group],MATCH(Vertices[[#This Row],[Vertex]],GroupVertices[Vertex],0)),1,1,"")</f>
        <v>1</v>
      </c>
      <c r="BC9" s="51"/>
      <c r="BD9" s="51"/>
      <c r="BE9" s="51"/>
      <c r="BF9" s="51"/>
      <c r="BG9" s="51"/>
      <c r="BH9" s="51"/>
      <c r="BI9" s="51"/>
      <c r="BJ9" s="51"/>
      <c r="BK9" s="51"/>
      <c r="BL9" s="51"/>
      <c r="BM9" s="51"/>
      <c r="BN9" s="52"/>
      <c r="BO9" s="51"/>
      <c r="BP9" s="52"/>
      <c r="BQ9" s="51"/>
      <c r="BR9" s="52"/>
      <c r="BS9" s="51"/>
      <c r="BT9" s="52"/>
      <c r="BU9" s="51"/>
      <c r="BV9" s="2"/>
      <c r="BW9" s="3"/>
      <c r="BX9" s="3"/>
      <c r="BY9" s="3"/>
      <c r="BZ9" s="3"/>
    </row>
    <row r="10" spans="1:78" ht="41.45" customHeight="1">
      <c r="A10" s="14" t="s">
        <v>238</v>
      </c>
      <c r="C10" s="15"/>
      <c r="D10" s="15" t="s">
        <v>64</v>
      </c>
      <c r="E10" s="92">
        <v>959.9118733076228</v>
      </c>
      <c r="F10" s="79"/>
      <c r="G10" s="111" t="str">
        <f>HYPERLINK("https://pbs.twimg.com/profile_images/1396864396790435845/g4KGGTMg_normal.jpg")</f>
        <v>https://pbs.twimg.com/profile_images/1396864396790435845/g4KGGTMg_normal.jpg</v>
      </c>
      <c r="H10" s="15"/>
      <c r="I10" s="16" t="s">
        <v>238</v>
      </c>
      <c r="J10" s="67"/>
      <c r="K10" s="67"/>
      <c r="L10" s="113" t="s">
        <v>492</v>
      </c>
      <c r="M10" s="93">
        <v>3436.905703962566</v>
      </c>
      <c r="N10" s="94">
        <v>3776.15625</v>
      </c>
      <c r="O10" s="94">
        <v>4919.05126953125</v>
      </c>
      <c r="P10" s="78"/>
      <c r="Q10" s="95"/>
      <c r="R10" s="95"/>
      <c r="S10" s="96"/>
      <c r="T10" s="51">
        <v>1</v>
      </c>
      <c r="U10" s="51">
        <v>26</v>
      </c>
      <c r="V10" s="52">
        <v>300</v>
      </c>
      <c r="W10" s="52">
        <v>0.038462</v>
      </c>
      <c r="X10" s="52">
        <v>0.116432</v>
      </c>
      <c r="Y10" s="52">
        <v>6.396735</v>
      </c>
      <c r="Z10" s="52">
        <v>0.038461538461538464</v>
      </c>
      <c r="AA10" s="52">
        <v>0.038461538461538464</v>
      </c>
      <c r="AB10" s="80">
        <v>10</v>
      </c>
      <c r="AC10" s="80"/>
      <c r="AD10" s="97"/>
      <c r="AE10" s="82" t="s">
        <v>353</v>
      </c>
      <c r="AF10" s="91" t="s">
        <v>390</v>
      </c>
      <c r="AG10" s="82">
        <v>3630</v>
      </c>
      <c r="AH10" s="82">
        <v>11671</v>
      </c>
      <c r="AI10" s="82">
        <v>55190</v>
      </c>
      <c r="AJ10" s="82">
        <v>195704</v>
      </c>
      <c r="AK10" s="82"/>
      <c r="AL10" s="82" t="s">
        <v>425</v>
      </c>
      <c r="AM10" s="82" t="s">
        <v>461</v>
      </c>
      <c r="AN10" s="82"/>
      <c r="AO10" s="82"/>
      <c r="AP10" s="84">
        <v>40405.55405092592</v>
      </c>
      <c r="AQ10" s="88" t="str">
        <f>HYPERLINK("https://pbs.twimg.com/profile_banners/178701967/1596004079")</f>
        <v>https://pbs.twimg.com/profile_banners/178701967/1596004079</v>
      </c>
      <c r="AR10" s="82" t="b">
        <v>0</v>
      </c>
      <c r="AS10" s="82" t="b">
        <v>0</v>
      </c>
      <c r="AT10" s="82" t="b">
        <v>0</v>
      </c>
      <c r="AU10" s="82"/>
      <c r="AV10" s="82">
        <v>17</v>
      </c>
      <c r="AW10" s="88" t="str">
        <f>HYPERLINK("https://abs.twimg.com/images/themes/theme1/bg.png")</f>
        <v>https://abs.twimg.com/images/themes/theme1/bg.png</v>
      </c>
      <c r="AX10" s="82" t="b">
        <v>0</v>
      </c>
      <c r="AY10" s="82" t="s">
        <v>485</v>
      </c>
      <c r="AZ10" s="88" t="str">
        <f>HYPERLINK("https://twitter.com/raaga31280")</f>
        <v>https://twitter.com/raaga31280</v>
      </c>
      <c r="BA10" s="82" t="s">
        <v>66</v>
      </c>
      <c r="BB10" s="82" t="str">
        <f>REPLACE(INDEX(GroupVertices[Group],MATCH(Vertices[[#This Row],[Vertex]],GroupVertices[Vertex],0)),1,1,"")</f>
        <v>1</v>
      </c>
      <c r="BC10" s="51"/>
      <c r="BD10" s="51"/>
      <c r="BE10" s="51"/>
      <c r="BF10" s="51"/>
      <c r="BG10" s="51"/>
      <c r="BH10" s="51"/>
      <c r="BI10" s="119" t="s">
        <v>660</v>
      </c>
      <c r="BJ10" s="119" t="s">
        <v>660</v>
      </c>
      <c r="BK10" s="119" t="s">
        <v>621</v>
      </c>
      <c r="BL10" s="119" t="s">
        <v>621</v>
      </c>
      <c r="BM10" s="119">
        <v>0</v>
      </c>
      <c r="BN10" s="122">
        <v>0</v>
      </c>
      <c r="BO10" s="119">
        <v>1</v>
      </c>
      <c r="BP10" s="122">
        <v>1.2195121951219512</v>
      </c>
      <c r="BQ10" s="119">
        <v>0</v>
      </c>
      <c r="BR10" s="122">
        <v>0</v>
      </c>
      <c r="BS10" s="119">
        <v>81</v>
      </c>
      <c r="BT10" s="122">
        <v>98.78048780487805</v>
      </c>
      <c r="BU10" s="119">
        <v>82</v>
      </c>
      <c r="BV10" s="2"/>
      <c r="BW10" s="3"/>
      <c r="BX10" s="3"/>
      <c r="BY10" s="3"/>
      <c r="BZ10" s="3"/>
    </row>
    <row r="11" spans="1:78" ht="41.45" customHeight="1">
      <c r="A11" s="14" t="s">
        <v>245</v>
      </c>
      <c r="C11" s="15"/>
      <c r="D11" s="15" t="s">
        <v>64</v>
      </c>
      <c r="E11" s="92">
        <v>249.740050873882</v>
      </c>
      <c r="F11" s="79"/>
      <c r="G11" s="111" t="str">
        <f>HYPERLINK("https://pbs.twimg.com/profile_images/1442460818155589636/r5cv_hOm_normal.jpg")</f>
        <v>https://pbs.twimg.com/profile_images/1442460818155589636/r5cv_hOm_normal.jpg</v>
      </c>
      <c r="H11" s="15"/>
      <c r="I11" s="16" t="s">
        <v>245</v>
      </c>
      <c r="J11" s="67"/>
      <c r="K11" s="67"/>
      <c r="L11" s="113" t="s">
        <v>493</v>
      </c>
      <c r="M11" s="93">
        <v>378.819344903157</v>
      </c>
      <c r="N11" s="94">
        <v>516.3948364257812</v>
      </c>
      <c r="O11" s="94">
        <v>5874.521484375</v>
      </c>
      <c r="P11" s="78"/>
      <c r="Q11" s="95"/>
      <c r="R11" s="95"/>
      <c r="S11" s="96"/>
      <c r="T11" s="51">
        <v>2</v>
      </c>
      <c r="U11" s="51">
        <v>0</v>
      </c>
      <c r="V11" s="52">
        <v>0</v>
      </c>
      <c r="W11" s="52">
        <v>0.02</v>
      </c>
      <c r="X11" s="52">
        <v>0.030685</v>
      </c>
      <c r="Y11" s="52">
        <v>0.568247</v>
      </c>
      <c r="Z11" s="52">
        <v>1</v>
      </c>
      <c r="AA11" s="52">
        <v>0</v>
      </c>
      <c r="AB11" s="80">
        <v>11</v>
      </c>
      <c r="AC11" s="80"/>
      <c r="AD11" s="97"/>
      <c r="AE11" s="82" t="s">
        <v>354</v>
      </c>
      <c r="AF11" s="91" t="s">
        <v>391</v>
      </c>
      <c r="AG11" s="82">
        <v>1079</v>
      </c>
      <c r="AH11" s="82">
        <v>1343</v>
      </c>
      <c r="AI11" s="82">
        <v>17821</v>
      </c>
      <c r="AJ11" s="82">
        <v>24280</v>
      </c>
      <c r="AK11" s="82"/>
      <c r="AL11" s="82" t="s">
        <v>426</v>
      </c>
      <c r="AM11" s="82" t="s">
        <v>462</v>
      </c>
      <c r="AN11" s="82"/>
      <c r="AO11" s="82"/>
      <c r="AP11" s="84">
        <v>42816.72041666666</v>
      </c>
      <c r="AQ11" s="88" t="str">
        <f>HYPERLINK("https://pbs.twimg.com/profile_banners/844598901344800769/1632654769")</f>
        <v>https://pbs.twimg.com/profile_banners/844598901344800769/1632654769</v>
      </c>
      <c r="AR11" s="82" t="b">
        <v>1</v>
      </c>
      <c r="AS11" s="82" t="b">
        <v>0</v>
      </c>
      <c r="AT11" s="82" t="b">
        <v>1</v>
      </c>
      <c r="AU11" s="82"/>
      <c r="AV11" s="82">
        <v>0</v>
      </c>
      <c r="AW11" s="82"/>
      <c r="AX11" s="82" t="b">
        <v>0</v>
      </c>
      <c r="AY11" s="82" t="s">
        <v>485</v>
      </c>
      <c r="AZ11" s="88" t="str">
        <f>HYPERLINK("https://twitter.com/radhiga_v")</f>
        <v>https://twitter.com/radhiga_v</v>
      </c>
      <c r="BA11" s="82" t="s">
        <v>65</v>
      </c>
      <c r="BB11" s="82" t="str">
        <f>REPLACE(INDEX(GroupVertices[Group],MATCH(Vertices[[#This Row],[Vertex]],GroupVertices[Vertex],0)),1,1,"")</f>
        <v>1</v>
      </c>
      <c r="BC11" s="51"/>
      <c r="BD11" s="51"/>
      <c r="BE11" s="51"/>
      <c r="BF11" s="51"/>
      <c r="BG11" s="51"/>
      <c r="BH11" s="51"/>
      <c r="BI11" s="51"/>
      <c r="BJ11" s="51"/>
      <c r="BK11" s="51"/>
      <c r="BL11" s="51"/>
      <c r="BM11" s="51"/>
      <c r="BN11" s="52"/>
      <c r="BO11" s="51"/>
      <c r="BP11" s="52"/>
      <c r="BQ11" s="51"/>
      <c r="BR11" s="52"/>
      <c r="BS11" s="51"/>
      <c r="BT11" s="52"/>
      <c r="BU11" s="51"/>
      <c r="BV11" s="2"/>
      <c r="BW11" s="3"/>
      <c r="BX11" s="3"/>
      <c r="BY11" s="3"/>
      <c r="BZ11" s="3"/>
    </row>
    <row r="12" spans="1:78" ht="41.45" customHeight="1">
      <c r="A12" s="14" t="s">
        <v>246</v>
      </c>
      <c r="C12" s="15"/>
      <c r="D12" s="15" t="s">
        <v>64</v>
      </c>
      <c r="E12" s="92">
        <v>848.9303356035119</v>
      </c>
      <c r="F12" s="79"/>
      <c r="G12" s="111" t="str">
        <f>HYPERLINK("https://pbs.twimg.com/profile_images/1345078817312763904/rWL_AoyG_normal.jpg")</f>
        <v>https://pbs.twimg.com/profile_images/1345078817312763904/rWL_AoyG_normal.jpg</v>
      </c>
      <c r="H12" s="15"/>
      <c r="I12" s="16" t="s">
        <v>246</v>
      </c>
      <c r="J12" s="67"/>
      <c r="K12" s="67"/>
      <c r="L12" s="113" t="s">
        <v>494</v>
      </c>
      <c r="M12" s="93">
        <v>2959.005686193212</v>
      </c>
      <c r="N12" s="94">
        <v>5445.6044921875</v>
      </c>
      <c r="O12" s="94">
        <v>6279.16796875</v>
      </c>
      <c r="P12" s="78"/>
      <c r="Q12" s="95"/>
      <c r="R12" s="95"/>
      <c r="S12" s="96"/>
      <c r="T12" s="51">
        <v>2</v>
      </c>
      <c r="U12" s="51">
        <v>0</v>
      </c>
      <c r="V12" s="52">
        <v>0</v>
      </c>
      <c r="W12" s="52">
        <v>0.02</v>
      </c>
      <c r="X12" s="52">
        <v>0.030685</v>
      </c>
      <c r="Y12" s="52">
        <v>0.568247</v>
      </c>
      <c r="Z12" s="52">
        <v>1</v>
      </c>
      <c r="AA12" s="52">
        <v>0</v>
      </c>
      <c r="AB12" s="80">
        <v>12</v>
      </c>
      <c r="AC12" s="80"/>
      <c r="AD12" s="97"/>
      <c r="AE12" s="82" t="s">
        <v>355</v>
      </c>
      <c r="AF12" s="91" t="s">
        <v>392</v>
      </c>
      <c r="AG12" s="82">
        <v>2538</v>
      </c>
      <c r="AH12" s="82">
        <v>10057</v>
      </c>
      <c r="AI12" s="82">
        <v>96683</v>
      </c>
      <c r="AJ12" s="82">
        <v>0</v>
      </c>
      <c r="AK12" s="82"/>
      <c r="AL12" s="82" t="s">
        <v>427</v>
      </c>
      <c r="AM12" s="82" t="s">
        <v>463</v>
      </c>
      <c r="AN12" s="88" t="str">
        <f>HYPERLINK("https://t.co/OmMicmAN7O")</f>
        <v>https://t.co/OmMicmAN7O</v>
      </c>
      <c r="AO12" s="82"/>
      <c r="AP12" s="84">
        <v>42683.39366898148</v>
      </c>
      <c r="AQ12" s="88" t="str">
        <f>HYPERLINK("https://pbs.twimg.com/profile_banners/796282904976367618/1586038814")</f>
        <v>https://pbs.twimg.com/profile_banners/796282904976367618/1586038814</v>
      </c>
      <c r="AR12" s="82" t="b">
        <v>1</v>
      </c>
      <c r="AS12" s="82" t="b">
        <v>0</v>
      </c>
      <c r="AT12" s="82" t="b">
        <v>1</v>
      </c>
      <c r="AU12" s="82"/>
      <c r="AV12" s="82">
        <v>11</v>
      </c>
      <c r="AW12" s="82"/>
      <c r="AX12" s="82" t="b">
        <v>0</v>
      </c>
      <c r="AY12" s="82" t="s">
        <v>485</v>
      </c>
      <c r="AZ12" s="88" t="str">
        <f>HYPERLINK("https://twitter.com/par_the_nomad")</f>
        <v>https://twitter.com/par_the_nomad</v>
      </c>
      <c r="BA12" s="82" t="s">
        <v>65</v>
      </c>
      <c r="BB12" s="82" t="str">
        <f>REPLACE(INDEX(GroupVertices[Group],MATCH(Vertices[[#This Row],[Vertex]],GroupVertices[Vertex],0)),1,1,"")</f>
        <v>1</v>
      </c>
      <c r="BC12" s="51"/>
      <c r="BD12" s="51"/>
      <c r="BE12" s="51"/>
      <c r="BF12" s="51"/>
      <c r="BG12" s="51"/>
      <c r="BH12" s="51"/>
      <c r="BI12" s="51"/>
      <c r="BJ12" s="51"/>
      <c r="BK12" s="51"/>
      <c r="BL12" s="51"/>
      <c r="BM12" s="51"/>
      <c r="BN12" s="52"/>
      <c r="BO12" s="51"/>
      <c r="BP12" s="52"/>
      <c r="BQ12" s="51"/>
      <c r="BR12" s="52"/>
      <c r="BS12" s="51"/>
      <c r="BT12" s="52"/>
      <c r="BU12" s="51"/>
      <c r="BV12" s="2"/>
      <c r="BW12" s="3"/>
      <c r="BX12" s="3"/>
      <c r="BY12" s="3"/>
      <c r="BZ12" s="3"/>
    </row>
    <row r="13" spans="1:78" ht="41.45" customHeight="1">
      <c r="A13" s="14" t="s">
        <v>247</v>
      </c>
      <c r="C13" s="15"/>
      <c r="D13" s="15" t="s">
        <v>64</v>
      </c>
      <c r="E13" s="92">
        <v>178.84663986214818</v>
      </c>
      <c r="F13" s="79"/>
      <c r="G13" s="111" t="str">
        <f>HYPERLINK("https://pbs.twimg.com/profile_images/1351974831680491520/B4KujuJb_normal.jpg")</f>
        <v>https://pbs.twimg.com/profile_images/1351974831680491520/B4KujuJb_normal.jpg</v>
      </c>
      <c r="H13" s="15"/>
      <c r="I13" s="16" t="s">
        <v>247</v>
      </c>
      <c r="J13" s="67"/>
      <c r="K13" s="67"/>
      <c r="L13" s="113" t="s">
        <v>495</v>
      </c>
      <c r="M13" s="93">
        <v>73.54368299472843</v>
      </c>
      <c r="N13" s="94">
        <v>1594.4381103515625</v>
      </c>
      <c r="O13" s="94">
        <v>5149.60888671875</v>
      </c>
      <c r="P13" s="78"/>
      <c r="Q13" s="95"/>
      <c r="R13" s="95"/>
      <c r="S13" s="96"/>
      <c r="T13" s="51">
        <v>2</v>
      </c>
      <c r="U13" s="51">
        <v>0</v>
      </c>
      <c r="V13" s="52">
        <v>0</v>
      </c>
      <c r="W13" s="52">
        <v>0.02</v>
      </c>
      <c r="X13" s="52">
        <v>0.030685</v>
      </c>
      <c r="Y13" s="52">
        <v>0.568247</v>
      </c>
      <c r="Z13" s="52">
        <v>1</v>
      </c>
      <c r="AA13" s="52">
        <v>0</v>
      </c>
      <c r="AB13" s="80">
        <v>13</v>
      </c>
      <c r="AC13" s="80"/>
      <c r="AD13" s="97"/>
      <c r="AE13" s="82" t="s">
        <v>356</v>
      </c>
      <c r="AF13" s="91" t="s">
        <v>393</v>
      </c>
      <c r="AG13" s="82">
        <v>3276</v>
      </c>
      <c r="AH13" s="82">
        <v>312</v>
      </c>
      <c r="AI13" s="82">
        <v>3262</v>
      </c>
      <c r="AJ13" s="82">
        <v>7570</v>
      </c>
      <c r="AK13" s="82"/>
      <c r="AL13" s="82" t="s">
        <v>428</v>
      </c>
      <c r="AM13" s="82" t="s">
        <v>464</v>
      </c>
      <c r="AN13" s="82"/>
      <c r="AO13" s="82"/>
      <c r="AP13" s="84">
        <v>43686.17940972222</v>
      </c>
      <c r="AQ13" s="82"/>
      <c r="AR13" s="82" t="b">
        <v>1</v>
      </c>
      <c r="AS13" s="82" t="b">
        <v>0</v>
      </c>
      <c r="AT13" s="82" t="b">
        <v>0</v>
      </c>
      <c r="AU13" s="82"/>
      <c r="AV13" s="82">
        <v>2</v>
      </c>
      <c r="AW13" s="82"/>
      <c r="AX13" s="82" t="b">
        <v>0</v>
      </c>
      <c r="AY13" s="82" t="s">
        <v>485</v>
      </c>
      <c r="AZ13" s="88" t="str">
        <f>HYPERLINK("https://twitter.com/pankutty1")</f>
        <v>https://twitter.com/pankutty1</v>
      </c>
      <c r="BA13" s="82" t="s">
        <v>65</v>
      </c>
      <c r="BB13" s="82" t="str">
        <f>REPLACE(INDEX(GroupVertices[Group],MATCH(Vertices[[#This Row],[Vertex]],GroupVertices[Vertex],0)),1,1,"")</f>
        <v>1</v>
      </c>
      <c r="BC13" s="51"/>
      <c r="BD13" s="51"/>
      <c r="BE13" s="51"/>
      <c r="BF13" s="51"/>
      <c r="BG13" s="51"/>
      <c r="BH13" s="51"/>
      <c r="BI13" s="51"/>
      <c r="BJ13" s="51"/>
      <c r="BK13" s="51"/>
      <c r="BL13" s="51"/>
      <c r="BM13" s="51"/>
      <c r="BN13" s="52"/>
      <c r="BO13" s="51"/>
      <c r="BP13" s="52"/>
      <c r="BQ13" s="51"/>
      <c r="BR13" s="52"/>
      <c r="BS13" s="51"/>
      <c r="BT13" s="52"/>
      <c r="BU13" s="51"/>
      <c r="BV13" s="2"/>
      <c r="BW13" s="3"/>
      <c r="BX13" s="3"/>
      <c r="BY13" s="3"/>
      <c r="BZ13" s="3"/>
    </row>
    <row r="14" spans="1:78" ht="41.45" customHeight="1">
      <c r="A14" s="14" t="s">
        <v>248</v>
      </c>
      <c r="C14" s="15"/>
      <c r="D14" s="15" t="s">
        <v>64</v>
      </c>
      <c r="E14" s="92">
        <v>645.257897759908</v>
      </c>
      <c r="F14" s="79"/>
      <c r="G14" s="111" t="str">
        <f>HYPERLINK("https://pbs.twimg.com/profile_images/1445732462617792522/WZpYpE6W_normal.jpg")</f>
        <v>https://pbs.twimg.com/profile_images/1445732462617792522/WZpYpE6W_normal.jpg</v>
      </c>
      <c r="H14" s="15"/>
      <c r="I14" s="16" t="s">
        <v>248</v>
      </c>
      <c r="J14" s="67"/>
      <c r="K14" s="67"/>
      <c r="L14" s="113" t="s">
        <v>496</v>
      </c>
      <c r="M14" s="93">
        <v>2081.9673636202097</v>
      </c>
      <c r="N14" s="94">
        <v>5690.06396484375</v>
      </c>
      <c r="O14" s="94">
        <v>1797.0052490234375</v>
      </c>
      <c r="P14" s="78"/>
      <c r="Q14" s="95"/>
      <c r="R14" s="95"/>
      <c r="S14" s="96"/>
      <c r="T14" s="51">
        <v>2</v>
      </c>
      <c r="U14" s="51">
        <v>0</v>
      </c>
      <c r="V14" s="52">
        <v>0</v>
      </c>
      <c r="W14" s="52">
        <v>0.02</v>
      </c>
      <c r="X14" s="52">
        <v>0.030685</v>
      </c>
      <c r="Y14" s="52">
        <v>0.568247</v>
      </c>
      <c r="Z14" s="52">
        <v>1</v>
      </c>
      <c r="AA14" s="52">
        <v>0</v>
      </c>
      <c r="AB14" s="80">
        <v>14</v>
      </c>
      <c r="AC14" s="80"/>
      <c r="AD14" s="97"/>
      <c r="AE14" s="82" t="s">
        <v>357</v>
      </c>
      <c r="AF14" s="91" t="s">
        <v>394</v>
      </c>
      <c r="AG14" s="82">
        <v>1700</v>
      </c>
      <c r="AH14" s="82">
        <v>7095</v>
      </c>
      <c r="AI14" s="82">
        <v>33709</v>
      </c>
      <c r="AJ14" s="82">
        <v>59124</v>
      </c>
      <c r="AK14" s="82"/>
      <c r="AL14" s="82" t="s">
        <v>429</v>
      </c>
      <c r="AM14" s="82" t="s">
        <v>465</v>
      </c>
      <c r="AN14" s="82"/>
      <c r="AO14" s="82"/>
      <c r="AP14" s="84">
        <v>42770.488078703704</v>
      </c>
      <c r="AQ14" s="88" t="str">
        <f>HYPERLINK("https://pbs.twimg.com/profile_banners/827844862905049088/1633524509")</f>
        <v>https://pbs.twimg.com/profile_banners/827844862905049088/1633524509</v>
      </c>
      <c r="AR14" s="82" t="b">
        <v>1</v>
      </c>
      <c r="AS14" s="82" t="b">
        <v>0</v>
      </c>
      <c r="AT14" s="82" t="b">
        <v>0</v>
      </c>
      <c r="AU14" s="82"/>
      <c r="AV14" s="82">
        <v>6</v>
      </c>
      <c r="AW14" s="82"/>
      <c r="AX14" s="82" t="b">
        <v>0</v>
      </c>
      <c r="AY14" s="82" t="s">
        <v>485</v>
      </c>
      <c r="AZ14" s="88" t="str">
        <f>HYPERLINK("https://twitter.com/sivaroobini555")</f>
        <v>https://twitter.com/sivaroobini555</v>
      </c>
      <c r="BA14" s="82" t="s">
        <v>65</v>
      </c>
      <c r="BB14" s="82" t="str">
        <f>REPLACE(INDEX(GroupVertices[Group],MATCH(Vertices[[#This Row],[Vertex]],GroupVertices[Vertex],0)),1,1,"")</f>
        <v>1</v>
      </c>
      <c r="BC14" s="51"/>
      <c r="BD14" s="51"/>
      <c r="BE14" s="51"/>
      <c r="BF14" s="51"/>
      <c r="BG14" s="51"/>
      <c r="BH14" s="51"/>
      <c r="BI14" s="51"/>
      <c r="BJ14" s="51"/>
      <c r="BK14" s="51"/>
      <c r="BL14" s="51"/>
      <c r="BM14" s="51"/>
      <c r="BN14" s="52"/>
      <c r="BO14" s="51"/>
      <c r="BP14" s="52"/>
      <c r="BQ14" s="51"/>
      <c r="BR14" s="52"/>
      <c r="BS14" s="51"/>
      <c r="BT14" s="52"/>
      <c r="BU14" s="51"/>
      <c r="BV14" s="2"/>
      <c r="BW14" s="3"/>
      <c r="BX14" s="3"/>
      <c r="BY14" s="3"/>
      <c r="BZ14" s="3"/>
    </row>
    <row r="15" spans="1:78" ht="41.45" customHeight="1">
      <c r="A15" s="14" t="s">
        <v>249</v>
      </c>
      <c r="C15" s="15"/>
      <c r="D15" s="15" t="s">
        <v>64</v>
      </c>
      <c r="E15" s="92">
        <v>168.32608517272504</v>
      </c>
      <c r="F15" s="79"/>
      <c r="G15" s="111" t="str">
        <f>HYPERLINK("https://pbs.twimg.com/profile_images/1323223286507974658/TuxPB4f4_normal.jpg")</f>
        <v>https://pbs.twimg.com/profile_images/1323223286507974658/TuxPB4f4_normal.jpg</v>
      </c>
      <c r="H15" s="15"/>
      <c r="I15" s="16" t="s">
        <v>249</v>
      </c>
      <c r="J15" s="67"/>
      <c r="K15" s="67"/>
      <c r="L15" s="113" t="s">
        <v>497</v>
      </c>
      <c r="M15" s="93">
        <v>28.240893206183735</v>
      </c>
      <c r="N15" s="94">
        <v>1560.3021240234375</v>
      </c>
      <c r="O15" s="94">
        <v>1696.3089599609375</v>
      </c>
      <c r="P15" s="78"/>
      <c r="Q15" s="95"/>
      <c r="R15" s="95"/>
      <c r="S15" s="96"/>
      <c r="T15" s="51">
        <v>2</v>
      </c>
      <c r="U15" s="51">
        <v>0</v>
      </c>
      <c r="V15" s="52">
        <v>0</v>
      </c>
      <c r="W15" s="52">
        <v>0.02</v>
      </c>
      <c r="X15" s="52">
        <v>0.030685</v>
      </c>
      <c r="Y15" s="52">
        <v>0.568247</v>
      </c>
      <c r="Z15" s="52">
        <v>1</v>
      </c>
      <c r="AA15" s="52">
        <v>0</v>
      </c>
      <c r="AB15" s="80">
        <v>15</v>
      </c>
      <c r="AC15" s="80"/>
      <c r="AD15" s="97"/>
      <c r="AE15" s="82" t="s">
        <v>358</v>
      </c>
      <c r="AF15" s="91" t="s">
        <v>395</v>
      </c>
      <c r="AG15" s="82">
        <v>155</v>
      </c>
      <c r="AH15" s="82">
        <v>159</v>
      </c>
      <c r="AI15" s="82">
        <v>1819</v>
      </c>
      <c r="AJ15" s="82">
        <v>1715</v>
      </c>
      <c r="AK15" s="82"/>
      <c r="AL15" s="82" t="s">
        <v>430</v>
      </c>
      <c r="AM15" s="82" t="s">
        <v>466</v>
      </c>
      <c r="AN15" s="82"/>
      <c r="AO15" s="82"/>
      <c r="AP15" s="84">
        <v>44039.83961805556</v>
      </c>
      <c r="AQ15" s="88" t="str">
        <f>HYPERLINK("https://pbs.twimg.com/profile_banners/1287842363948199941/1628943177")</f>
        <v>https://pbs.twimg.com/profile_banners/1287842363948199941/1628943177</v>
      </c>
      <c r="AR15" s="82" t="b">
        <v>1</v>
      </c>
      <c r="AS15" s="82" t="b">
        <v>0</v>
      </c>
      <c r="AT15" s="82" t="b">
        <v>0</v>
      </c>
      <c r="AU15" s="82"/>
      <c r="AV15" s="82">
        <v>0</v>
      </c>
      <c r="AW15" s="82"/>
      <c r="AX15" s="82" t="b">
        <v>0</v>
      </c>
      <c r="AY15" s="82" t="s">
        <v>485</v>
      </c>
      <c r="AZ15" s="88" t="str">
        <f>HYPERLINK("https://twitter.com/makkolam")</f>
        <v>https://twitter.com/makkolam</v>
      </c>
      <c r="BA15" s="82" t="s">
        <v>65</v>
      </c>
      <c r="BB15" s="82" t="str">
        <f>REPLACE(INDEX(GroupVertices[Group],MATCH(Vertices[[#This Row],[Vertex]],GroupVertices[Vertex],0)),1,1,"")</f>
        <v>1</v>
      </c>
      <c r="BC15" s="51"/>
      <c r="BD15" s="51"/>
      <c r="BE15" s="51"/>
      <c r="BF15" s="51"/>
      <c r="BG15" s="51"/>
      <c r="BH15" s="51"/>
      <c r="BI15" s="51"/>
      <c r="BJ15" s="51"/>
      <c r="BK15" s="51"/>
      <c r="BL15" s="51"/>
      <c r="BM15" s="51"/>
      <c r="BN15" s="52"/>
      <c r="BO15" s="51"/>
      <c r="BP15" s="52"/>
      <c r="BQ15" s="51"/>
      <c r="BR15" s="52"/>
      <c r="BS15" s="51"/>
      <c r="BT15" s="52"/>
      <c r="BU15" s="51"/>
      <c r="BV15" s="2"/>
      <c r="BW15" s="3"/>
      <c r="BX15" s="3"/>
      <c r="BY15" s="3"/>
      <c r="BZ15" s="3"/>
    </row>
    <row r="16" spans="1:78" ht="41.45" customHeight="1">
      <c r="A16" s="14" t="s">
        <v>250</v>
      </c>
      <c r="C16" s="15"/>
      <c r="D16" s="15" t="s">
        <v>64</v>
      </c>
      <c r="E16" s="92">
        <v>320.97727086239433</v>
      </c>
      <c r="F16" s="79"/>
      <c r="G16" s="111" t="str">
        <f>HYPERLINK("https://pbs.twimg.com/profile_images/1354457576277123076/CI0sT6n3_normal.jpg")</f>
        <v>https://pbs.twimg.com/profile_images/1354457576277123076/CI0sT6n3_normal.jpg</v>
      </c>
      <c r="H16" s="15"/>
      <c r="I16" s="16" t="s">
        <v>250</v>
      </c>
      <c r="J16" s="67"/>
      <c r="K16" s="67"/>
      <c r="L16" s="113" t="s">
        <v>498</v>
      </c>
      <c r="M16" s="93">
        <v>685.5754901380086</v>
      </c>
      <c r="N16" s="94">
        <v>1519.16845703125</v>
      </c>
      <c r="O16" s="94">
        <v>8245.193359375</v>
      </c>
      <c r="P16" s="78"/>
      <c r="Q16" s="95"/>
      <c r="R16" s="95"/>
      <c r="S16" s="96"/>
      <c r="T16" s="51">
        <v>2</v>
      </c>
      <c r="U16" s="51">
        <v>0</v>
      </c>
      <c r="V16" s="52">
        <v>0</v>
      </c>
      <c r="W16" s="52">
        <v>0.02</v>
      </c>
      <c r="X16" s="52">
        <v>0.030685</v>
      </c>
      <c r="Y16" s="52">
        <v>0.568247</v>
      </c>
      <c r="Z16" s="52">
        <v>1</v>
      </c>
      <c r="AA16" s="52">
        <v>0</v>
      </c>
      <c r="AB16" s="80">
        <v>16</v>
      </c>
      <c r="AC16" s="80"/>
      <c r="AD16" s="97"/>
      <c r="AE16" s="82" t="s">
        <v>359</v>
      </c>
      <c r="AF16" s="91" t="s">
        <v>396</v>
      </c>
      <c r="AG16" s="82">
        <v>906</v>
      </c>
      <c r="AH16" s="82">
        <v>2379</v>
      </c>
      <c r="AI16" s="82">
        <v>13621</v>
      </c>
      <c r="AJ16" s="82">
        <v>9476</v>
      </c>
      <c r="AK16" s="82"/>
      <c r="AL16" s="82" t="s">
        <v>431</v>
      </c>
      <c r="AM16" s="82"/>
      <c r="AN16" s="82"/>
      <c r="AO16" s="82"/>
      <c r="AP16" s="84">
        <v>44223.661678240744</v>
      </c>
      <c r="AQ16" s="88" t="str">
        <f>HYPERLINK("https://pbs.twimg.com/profile_banners/1354457272026505218/1611884652")</f>
        <v>https://pbs.twimg.com/profile_banners/1354457272026505218/1611884652</v>
      </c>
      <c r="AR16" s="82" t="b">
        <v>1</v>
      </c>
      <c r="AS16" s="82" t="b">
        <v>0</v>
      </c>
      <c r="AT16" s="82" t="b">
        <v>0</v>
      </c>
      <c r="AU16" s="82"/>
      <c r="AV16" s="82">
        <v>5</v>
      </c>
      <c r="AW16" s="82"/>
      <c r="AX16" s="82" t="b">
        <v>0</v>
      </c>
      <c r="AY16" s="82" t="s">
        <v>485</v>
      </c>
      <c r="AZ16" s="88" t="str">
        <f>HYPERLINK("https://twitter.com/gopalanvs2")</f>
        <v>https://twitter.com/gopalanvs2</v>
      </c>
      <c r="BA16" s="82" t="s">
        <v>65</v>
      </c>
      <c r="BB16" s="82" t="str">
        <f>REPLACE(INDEX(GroupVertices[Group],MATCH(Vertices[[#This Row],[Vertex]],GroupVertices[Vertex],0)),1,1,"")</f>
        <v>1</v>
      </c>
      <c r="BC16" s="51"/>
      <c r="BD16" s="51"/>
      <c r="BE16" s="51"/>
      <c r="BF16" s="51"/>
      <c r="BG16" s="51"/>
      <c r="BH16" s="51"/>
      <c r="BI16" s="51"/>
      <c r="BJ16" s="51"/>
      <c r="BK16" s="51"/>
      <c r="BL16" s="51"/>
      <c r="BM16" s="51"/>
      <c r="BN16" s="52"/>
      <c r="BO16" s="51"/>
      <c r="BP16" s="52"/>
      <c r="BQ16" s="51"/>
      <c r="BR16" s="52"/>
      <c r="BS16" s="51"/>
      <c r="BT16" s="52"/>
      <c r="BU16" s="51"/>
      <c r="BV16" s="2"/>
      <c r="BW16" s="3"/>
      <c r="BX16" s="3"/>
      <c r="BY16" s="3"/>
      <c r="BZ16" s="3"/>
    </row>
    <row r="17" spans="1:78" ht="41.45" customHeight="1">
      <c r="A17" s="14" t="s">
        <v>251</v>
      </c>
      <c r="C17" s="15"/>
      <c r="D17" s="15" t="s">
        <v>64</v>
      </c>
      <c r="E17" s="92">
        <v>217.28448346598836</v>
      </c>
      <c r="F17" s="79"/>
      <c r="G17" s="111" t="str">
        <f>HYPERLINK("https://pbs.twimg.com/profile_images/811989511219527680/DGYSbfMa_normal.jpg")</f>
        <v>https://pbs.twimg.com/profile_images/811989511219527680/DGYSbfMa_normal.jpg</v>
      </c>
      <c r="H17" s="15"/>
      <c r="I17" s="16" t="s">
        <v>251</v>
      </c>
      <c r="J17" s="67"/>
      <c r="K17" s="67"/>
      <c r="L17" s="113" t="s">
        <v>499</v>
      </c>
      <c r="M17" s="93">
        <v>239.06171888882307</v>
      </c>
      <c r="N17" s="94">
        <v>6828.90771484375</v>
      </c>
      <c r="O17" s="94">
        <v>4126.84716796875</v>
      </c>
      <c r="P17" s="78"/>
      <c r="Q17" s="95"/>
      <c r="R17" s="95"/>
      <c r="S17" s="96"/>
      <c r="T17" s="51">
        <v>2</v>
      </c>
      <c r="U17" s="51">
        <v>0</v>
      </c>
      <c r="V17" s="52">
        <v>0</v>
      </c>
      <c r="W17" s="52">
        <v>0.02</v>
      </c>
      <c r="X17" s="52">
        <v>0.030685</v>
      </c>
      <c r="Y17" s="52">
        <v>0.568247</v>
      </c>
      <c r="Z17" s="52">
        <v>1</v>
      </c>
      <c r="AA17" s="52">
        <v>0</v>
      </c>
      <c r="AB17" s="80">
        <v>17</v>
      </c>
      <c r="AC17" s="80"/>
      <c r="AD17" s="97"/>
      <c r="AE17" s="82" t="s">
        <v>360</v>
      </c>
      <c r="AF17" s="91" t="s">
        <v>397</v>
      </c>
      <c r="AG17" s="82">
        <v>1492</v>
      </c>
      <c r="AH17" s="82">
        <v>871</v>
      </c>
      <c r="AI17" s="82">
        <v>40455</v>
      </c>
      <c r="AJ17" s="82">
        <v>144928</v>
      </c>
      <c r="AK17" s="82"/>
      <c r="AL17" s="82" t="s">
        <v>432</v>
      </c>
      <c r="AM17" s="82" t="s">
        <v>467</v>
      </c>
      <c r="AN17" s="82"/>
      <c r="AO17" s="82"/>
      <c r="AP17" s="84">
        <v>41999.835011574076</v>
      </c>
      <c r="AQ17" s="82"/>
      <c r="AR17" s="82" t="b">
        <v>1</v>
      </c>
      <c r="AS17" s="82" t="b">
        <v>0</v>
      </c>
      <c r="AT17" s="82" t="b">
        <v>1</v>
      </c>
      <c r="AU17" s="82"/>
      <c r="AV17" s="82">
        <v>1</v>
      </c>
      <c r="AW17" s="88" t="str">
        <f>HYPERLINK("https://abs.twimg.com/images/themes/theme1/bg.png")</f>
        <v>https://abs.twimg.com/images/themes/theme1/bg.png</v>
      </c>
      <c r="AX17" s="82" t="b">
        <v>0</v>
      </c>
      <c r="AY17" s="82" t="s">
        <v>485</v>
      </c>
      <c r="AZ17" s="88" t="str">
        <f>HYPERLINK("https://twitter.com/ganesanpant")</f>
        <v>https://twitter.com/ganesanpant</v>
      </c>
      <c r="BA17" s="82" t="s">
        <v>65</v>
      </c>
      <c r="BB17" s="82" t="str">
        <f>REPLACE(INDEX(GroupVertices[Group],MATCH(Vertices[[#This Row],[Vertex]],GroupVertices[Vertex],0)),1,1,"")</f>
        <v>1</v>
      </c>
      <c r="BC17" s="51"/>
      <c r="BD17" s="51"/>
      <c r="BE17" s="51"/>
      <c r="BF17" s="51"/>
      <c r="BG17" s="51"/>
      <c r="BH17" s="51"/>
      <c r="BI17" s="51"/>
      <c r="BJ17" s="51"/>
      <c r="BK17" s="51"/>
      <c r="BL17" s="51"/>
      <c r="BM17" s="51"/>
      <c r="BN17" s="52"/>
      <c r="BO17" s="51"/>
      <c r="BP17" s="52"/>
      <c r="BQ17" s="51"/>
      <c r="BR17" s="52"/>
      <c r="BS17" s="51"/>
      <c r="BT17" s="52"/>
      <c r="BU17" s="51"/>
      <c r="BV17" s="2"/>
      <c r="BW17" s="3"/>
      <c r="BX17" s="3"/>
      <c r="BY17" s="3"/>
      <c r="BZ17" s="3"/>
    </row>
    <row r="18" spans="1:78" ht="41.45" customHeight="1">
      <c r="A18" s="14" t="s">
        <v>252</v>
      </c>
      <c r="C18" s="15"/>
      <c r="D18" s="15" t="s">
        <v>64</v>
      </c>
      <c r="E18" s="92">
        <v>553.0483301879051</v>
      </c>
      <c r="F18" s="79"/>
      <c r="G18" s="111" t="str">
        <f>HYPERLINK("https://pbs.twimg.com/profile_images/1426875041136865281/zV29cwmw_normal.jpg")</f>
        <v>https://pbs.twimg.com/profile_images/1426875041136865281/zV29cwmw_normal.jpg</v>
      </c>
      <c r="H18" s="15"/>
      <c r="I18" s="16" t="s">
        <v>252</v>
      </c>
      <c r="J18" s="67"/>
      <c r="K18" s="67"/>
      <c r="L18" s="113" t="s">
        <v>500</v>
      </c>
      <c r="M18" s="93">
        <v>1684.9017354735533</v>
      </c>
      <c r="N18" s="94">
        <v>5893.0205078125</v>
      </c>
      <c r="O18" s="94">
        <v>8022.21533203125</v>
      </c>
      <c r="P18" s="78"/>
      <c r="Q18" s="95"/>
      <c r="R18" s="95"/>
      <c r="S18" s="96"/>
      <c r="T18" s="51">
        <v>2</v>
      </c>
      <c r="U18" s="51">
        <v>0</v>
      </c>
      <c r="V18" s="52">
        <v>0</v>
      </c>
      <c r="W18" s="52">
        <v>0.02</v>
      </c>
      <c r="X18" s="52">
        <v>0.030685</v>
      </c>
      <c r="Y18" s="52">
        <v>0.568247</v>
      </c>
      <c r="Z18" s="52">
        <v>1</v>
      </c>
      <c r="AA18" s="52">
        <v>0</v>
      </c>
      <c r="AB18" s="80">
        <v>18</v>
      </c>
      <c r="AC18" s="80"/>
      <c r="AD18" s="97"/>
      <c r="AE18" s="82" t="s">
        <v>361</v>
      </c>
      <c r="AF18" s="91" t="s">
        <v>398</v>
      </c>
      <c r="AG18" s="82">
        <v>4155</v>
      </c>
      <c r="AH18" s="82">
        <v>5754</v>
      </c>
      <c r="AI18" s="82">
        <v>49398</v>
      </c>
      <c r="AJ18" s="82">
        <v>470587</v>
      </c>
      <c r="AK18" s="82"/>
      <c r="AL18" s="82" t="s">
        <v>433</v>
      </c>
      <c r="AM18" s="82" t="s">
        <v>468</v>
      </c>
      <c r="AN18" s="82"/>
      <c r="AO18" s="82"/>
      <c r="AP18" s="84">
        <v>40372.636354166665</v>
      </c>
      <c r="AQ18" s="88" t="str">
        <f>HYPERLINK("https://pbs.twimg.com/profile_banners/166189891/1542549273")</f>
        <v>https://pbs.twimg.com/profile_banners/166189891/1542549273</v>
      </c>
      <c r="AR18" s="82" t="b">
        <v>0</v>
      </c>
      <c r="AS18" s="82" t="b">
        <v>0</v>
      </c>
      <c r="AT18" s="82" t="b">
        <v>1</v>
      </c>
      <c r="AU18" s="82"/>
      <c r="AV18" s="82">
        <v>16</v>
      </c>
      <c r="AW18" s="88" t="str">
        <f>HYPERLINK("https://abs.twimg.com/images/themes/theme4/bg.gif")</f>
        <v>https://abs.twimg.com/images/themes/theme4/bg.gif</v>
      </c>
      <c r="AX18" s="82" t="b">
        <v>0</v>
      </c>
      <c r="AY18" s="82" t="s">
        <v>485</v>
      </c>
      <c r="AZ18" s="88" t="str">
        <f>HYPERLINK("https://twitter.com/ungalnanbar")</f>
        <v>https://twitter.com/ungalnanbar</v>
      </c>
      <c r="BA18" s="82" t="s">
        <v>65</v>
      </c>
      <c r="BB18" s="82" t="str">
        <f>REPLACE(INDEX(GroupVertices[Group],MATCH(Vertices[[#This Row],[Vertex]],GroupVertices[Vertex],0)),1,1,"")</f>
        <v>1</v>
      </c>
      <c r="BC18" s="51"/>
      <c r="BD18" s="51"/>
      <c r="BE18" s="51"/>
      <c r="BF18" s="51"/>
      <c r="BG18" s="51"/>
      <c r="BH18" s="51"/>
      <c r="BI18" s="51"/>
      <c r="BJ18" s="51"/>
      <c r="BK18" s="51"/>
      <c r="BL18" s="51"/>
      <c r="BM18" s="51"/>
      <c r="BN18" s="52"/>
      <c r="BO18" s="51"/>
      <c r="BP18" s="52"/>
      <c r="BQ18" s="51"/>
      <c r="BR18" s="52"/>
      <c r="BS18" s="51"/>
      <c r="BT18" s="52"/>
      <c r="BU18" s="51"/>
      <c r="BV18" s="2"/>
      <c r="BW18" s="3"/>
      <c r="BX18" s="3"/>
      <c r="BY18" s="3"/>
      <c r="BZ18" s="3"/>
    </row>
    <row r="19" spans="1:78" ht="41.45" customHeight="1">
      <c r="A19" s="14" t="s">
        <v>253</v>
      </c>
      <c r="C19" s="15"/>
      <c r="D19" s="15" t="s">
        <v>64</v>
      </c>
      <c r="E19" s="92">
        <v>250.5651924181505</v>
      </c>
      <c r="F19" s="79"/>
      <c r="G19" s="111" t="str">
        <f>HYPERLINK("https://pbs.twimg.com/profile_images/1311726593258135552/1osytFvx_normal.jpg")</f>
        <v>https://pbs.twimg.com/profile_images/1311726593258135552/1osytFvx_normal.jpg</v>
      </c>
      <c r="H19" s="15"/>
      <c r="I19" s="16" t="s">
        <v>253</v>
      </c>
      <c r="J19" s="67"/>
      <c r="K19" s="67"/>
      <c r="L19" s="113" t="s">
        <v>501</v>
      </c>
      <c r="M19" s="93">
        <v>382.3725048865723</v>
      </c>
      <c r="N19" s="94">
        <v>2535.975830078125</v>
      </c>
      <c r="O19" s="94">
        <v>7207.89990234375</v>
      </c>
      <c r="P19" s="78"/>
      <c r="Q19" s="95"/>
      <c r="R19" s="95"/>
      <c r="S19" s="96"/>
      <c r="T19" s="51">
        <v>2</v>
      </c>
      <c r="U19" s="51">
        <v>0</v>
      </c>
      <c r="V19" s="52">
        <v>0</v>
      </c>
      <c r="W19" s="52">
        <v>0.02</v>
      </c>
      <c r="X19" s="52">
        <v>0.030685</v>
      </c>
      <c r="Y19" s="52">
        <v>0.568247</v>
      </c>
      <c r="Z19" s="52">
        <v>1</v>
      </c>
      <c r="AA19" s="52">
        <v>0</v>
      </c>
      <c r="AB19" s="80">
        <v>19</v>
      </c>
      <c r="AC19" s="80"/>
      <c r="AD19" s="97"/>
      <c r="AE19" s="82" t="s">
        <v>362</v>
      </c>
      <c r="AF19" s="91" t="s">
        <v>399</v>
      </c>
      <c r="AG19" s="82">
        <v>378</v>
      </c>
      <c r="AH19" s="82">
        <v>1355</v>
      </c>
      <c r="AI19" s="82">
        <v>134382</v>
      </c>
      <c r="AJ19" s="82">
        <v>257403</v>
      </c>
      <c r="AK19" s="82"/>
      <c r="AL19" s="82" t="s">
        <v>434</v>
      </c>
      <c r="AM19" s="82" t="s">
        <v>469</v>
      </c>
      <c r="AN19" s="82"/>
      <c r="AO19" s="82"/>
      <c r="AP19" s="84">
        <v>43488.426354166666</v>
      </c>
      <c r="AQ19" s="88" t="str">
        <f>HYPERLINK("https://pbs.twimg.com/profile_banners/1088016983126290432/1594812034")</f>
        <v>https://pbs.twimg.com/profile_banners/1088016983126290432/1594812034</v>
      </c>
      <c r="AR19" s="82" t="b">
        <v>1</v>
      </c>
      <c r="AS19" s="82" t="b">
        <v>0</v>
      </c>
      <c r="AT19" s="82" t="b">
        <v>1</v>
      </c>
      <c r="AU19" s="82"/>
      <c r="AV19" s="82">
        <v>0</v>
      </c>
      <c r="AW19" s="82"/>
      <c r="AX19" s="82" t="b">
        <v>0</v>
      </c>
      <c r="AY19" s="82" t="s">
        <v>485</v>
      </c>
      <c r="AZ19" s="88" t="str">
        <f>HYPERLINK("https://twitter.com/saravanansivans")</f>
        <v>https://twitter.com/saravanansivans</v>
      </c>
      <c r="BA19" s="82" t="s">
        <v>65</v>
      </c>
      <c r="BB19" s="82" t="str">
        <f>REPLACE(INDEX(GroupVertices[Group],MATCH(Vertices[[#This Row],[Vertex]],GroupVertices[Vertex],0)),1,1,"")</f>
        <v>1</v>
      </c>
      <c r="BC19" s="51"/>
      <c r="BD19" s="51"/>
      <c r="BE19" s="51"/>
      <c r="BF19" s="51"/>
      <c r="BG19" s="51"/>
      <c r="BH19" s="51"/>
      <c r="BI19" s="51"/>
      <c r="BJ19" s="51"/>
      <c r="BK19" s="51"/>
      <c r="BL19" s="51"/>
      <c r="BM19" s="51"/>
      <c r="BN19" s="52"/>
      <c r="BO19" s="51"/>
      <c r="BP19" s="52"/>
      <c r="BQ19" s="51"/>
      <c r="BR19" s="52"/>
      <c r="BS19" s="51"/>
      <c r="BT19" s="52"/>
      <c r="BU19" s="51"/>
      <c r="BV19" s="2"/>
      <c r="BW19" s="3"/>
      <c r="BX19" s="3"/>
      <c r="BY19" s="3"/>
      <c r="BZ19" s="3"/>
    </row>
    <row r="20" spans="1:78" ht="41.45" customHeight="1">
      <c r="A20" s="14" t="s">
        <v>254</v>
      </c>
      <c r="C20" s="15"/>
      <c r="D20" s="15" t="s">
        <v>64</v>
      </c>
      <c r="E20" s="92">
        <v>402.1161893821285</v>
      </c>
      <c r="F20" s="79"/>
      <c r="G20" s="111" t="str">
        <f>HYPERLINK("https://pbs.twimg.com/profile_images/1426939708286767104/rfTZslzT_normal.jpg")</f>
        <v>https://pbs.twimg.com/profile_images/1426939708286767104/rfTZslzT_normal.jpg</v>
      </c>
      <c r="H20" s="15"/>
      <c r="I20" s="16" t="s">
        <v>254</v>
      </c>
      <c r="J20" s="67"/>
      <c r="K20" s="67"/>
      <c r="L20" s="113" t="s">
        <v>502</v>
      </c>
      <c r="M20" s="93">
        <v>1034.9695551738434</v>
      </c>
      <c r="N20" s="94">
        <v>3681.405517578125</v>
      </c>
      <c r="O20" s="94">
        <v>8808.01953125</v>
      </c>
      <c r="P20" s="78"/>
      <c r="Q20" s="95"/>
      <c r="R20" s="95"/>
      <c r="S20" s="96"/>
      <c r="T20" s="51">
        <v>2</v>
      </c>
      <c r="U20" s="51">
        <v>0</v>
      </c>
      <c r="V20" s="52">
        <v>0</v>
      </c>
      <c r="W20" s="52">
        <v>0.02</v>
      </c>
      <c r="X20" s="52">
        <v>0.030685</v>
      </c>
      <c r="Y20" s="52">
        <v>0.568247</v>
      </c>
      <c r="Z20" s="52">
        <v>1</v>
      </c>
      <c r="AA20" s="52">
        <v>0</v>
      </c>
      <c r="AB20" s="80">
        <v>20</v>
      </c>
      <c r="AC20" s="80"/>
      <c r="AD20" s="97"/>
      <c r="AE20" s="82" t="s">
        <v>363</v>
      </c>
      <c r="AF20" s="91" t="s">
        <v>400</v>
      </c>
      <c r="AG20" s="82">
        <v>396</v>
      </c>
      <c r="AH20" s="82">
        <v>3559</v>
      </c>
      <c r="AI20" s="82">
        <v>48633</v>
      </c>
      <c r="AJ20" s="82">
        <v>68531</v>
      </c>
      <c r="AK20" s="82"/>
      <c r="AL20" s="82" t="s">
        <v>435</v>
      </c>
      <c r="AM20" s="82" t="s">
        <v>470</v>
      </c>
      <c r="AN20" s="82"/>
      <c r="AO20" s="82"/>
      <c r="AP20" s="84">
        <v>40655.242627314816</v>
      </c>
      <c r="AQ20" s="88" t="str">
        <f>HYPERLINK("https://pbs.twimg.com/profile_banners/286014741/1618392141")</f>
        <v>https://pbs.twimg.com/profile_banners/286014741/1618392141</v>
      </c>
      <c r="AR20" s="82" t="b">
        <v>1</v>
      </c>
      <c r="AS20" s="82" t="b">
        <v>0</v>
      </c>
      <c r="AT20" s="82" t="b">
        <v>1</v>
      </c>
      <c r="AU20" s="82"/>
      <c r="AV20" s="82">
        <v>10</v>
      </c>
      <c r="AW20" s="88" t="str">
        <f>HYPERLINK("https://abs.twimg.com/images/themes/theme1/bg.png")</f>
        <v>https://abs.twimg.com/images/themes/theme1/bg.png</v>
      </c>
      <c r="AX20" s="82" t="b">
        <v>0</v>
      </c>
      <c r="AY20" s="82" t="s">
        <v>485</v>
      </c>
      <c r="AZ20" s="88" t="str">
        <f>HYPERLINK("https://twitter.com/krishnananban55")</f>
        <v>https://twitter.com/krishnananban55</v>
      </c>
      <c r="BA20" s="82" t="s">
        <v>65</v>
      </c>
      <c r="BB20" s="82" t="str">
        <f>REPLACE(INDEX(GroupVertices[Group],MATCH(Vertices[[#This Row],[Vertex]],GroupVertices[Vertex],0)),1,1,"")</f>
        <v>1</v>
      </c>
      <c r="BC20" s="51"/>
      <c r="BD20" s="51"/>
      <c r="BE20" s="51"/>
      <c r="BF20" s="51"/>
      <c r="BG20" s="51"/>
      <c r="BH20" s="51"/>
      <c r="BI20" s="51"/>
      <c r="BJ20" s="51"/>
      <c r="BK20" s="51"/>
      <c r="BL20" s="51"/>
      <c r="BM20" s="51"/>
      <c r="BN20" s="52"/>
      <c r="BO20" s="51"/>
      <c r="BP20" s="52"/>
      <c r="BQ20" s="51"/>
      <c r="BR20" s="52"/>
      <c r="BS20" s="51"/>
      <c r="BT20" s="52"/>
      <c r="BU20" s="51"/>
      <c r="BV20" s="2"/>
      <c r="BW20" s="3"/>
      <c r="BX20" s="3"/>
      <c r="BY20" s="3"/>
      <c r="BZ20" s="3"/>
    </row>
    <row r="21" spans="1:78" ht="41.45" customHeight="1">
      <c r="A21" s="14" t="s">
        <v>255</v>
      </c>
      <c r="C21" s="15"/>
      <c r="D21" s="15" t="s">
        <v>64</v>
      </c>
      <c r="E21" s="92">
        <v>900.2266349388693</v>
      </c>
      <c r="F21" s="79"/>
      <c r="G21" s="111" t="str">
        <f>HYPERLINK("https://pbs.twimg.com/profile_images/1373170900422381570/SHzVLwys_normal.jpg")</f>
        <v>https://pbs.twimg.com/profile_images/1373170900422381570/SHzVLwys_normal.jpg</v>
      </c>
      <c r="H21" s="15"/>
      <c r="I21" s="16" t="s">
        <v>255</v>
      </c>
      <c r="J21" s="67"/>
      <c r="K21" s="67"/>
      <c r="L21" s="113" t="s">
        <v>503</v>
      </c>
      <c r="M21" s="93">
        <v>3179.8937984955282</v>
      </c>
      <c r="N21" s="94">
        <v>6413.24365234375</v>
      </c>
      <c r="O21" s="94">
        <v>2798.936279296875</v>
      </c>
      <c r="P21" s="78"/>
      <c r="Q21" s="95"/>
      <c r="R21" s="95"/>
      <c r="S21" s="96"/>
      <c r="T21" s="51">
        <v>2</v>
      </c>
      <c r="U21" s="51">
        <v>0</v>
      </c>
      <c r="V21" s="52">
        <v>0</v>
      </c>
      <c r="W21" s="52">
        <v>0.02</v>
      </c>
      <c r="X21" s="52">
        <v>0.030685</v>
      </c>
      <c r="Y21" s="52">
        <v>0.568247</v>
      </c>
      <c r="Z21" s="52">
        <v>1</v>
      </c>
      <c r="AA21" s="52">
        <v>0</v>
      </c>
      <c r="AB21" s="80">
        <v>21</v>
      </c>
      <c r="AC21" s="80"/>
      <c r="AD21" s="97"/>
      <c r="AE21" s="82" t="s">
        <v>364</v>
      </c>
      <c r="AF21" s="91" t="s">
        <v>401</v>
      </c>
      <c r="AG21" s="82">
        <v>909</v>
      </c>
      <c r="AH21" s="82">
        <v>10803</v>
      </c>
      <c r="AI21" s="82">
        <v>40902</v>
      </c>
      <c r="AJ21" s="82">
        <v>125484</v>
      </c>
      <c r="AK21" s="82"/>
      <c r="AL21" s="82" t="s">
        <v>436</v>
      </c>
      <c r="AM21" s="82" t="s">
        <v>471</v>
      </c>
      <c r="AN21" s="82"/>
      <c r="AO21" s="82"/>
      <c r="AP21" s="84">
        <v>43506.17659722222</v>
      </c>
      <c r="AQ21" s="88" t="str">
        <f>HYPERLINK("https://pbs.twimg.com/profile_banners/1094449455862931456/1586064852")</f>
        <v>https://pbs.twimg.com/profile_banners/1094449455862931456/1586064852</v>
      </c>
      <c r="AR21" s="82" t="b">
        <v>1</v>
      </c>
      <c r="AS21" s="82" t="b">
        <v>0</v>
      </c>
      <c r="AT21" s="82" t="b">
        <v>0</v>
      </c>
      <c r="AU21" s="82"/>
      <c r="AV21" s="82">
        <v>9</v>
      </c>
      <c r="AW21" s="82"/>
      <c r="AX21" s="82" t="b">
        <v>0</v>
      </c>
      <c r="AY21" s="82" t="s">
        <v>485</v>
      </c>
      <c r="AZ21" s="88" t="str">
        <f>HYPERLINK("https://twitter.com/bkannigaa")</f>
        <v>https://twitter.com/bkannigaa</v>
      </c>
      <c r="BA21" s="82" t="s">
        <v>65</v>
      </c>
      <c r="BB21" s="82" t="str">
        <f>REPLACE(INDEX(GroupVertices[Group],MATCH(Vertices[[#This Row],[Vertex]],GroupVertices[Vertex],0)),1,1,"")</f>
        <v>1</v>
      </c>
      <c r="BC21" s="51"/>
      <c r="BD21" s="51"/>
      <c r="BE21" s="51"/>
      <c r="BF21" s="51"/>
      <c r="BG21" s="51"/>
      <c r="BH21" s="51"/>
      <c r="BI21" s="51"/>
      <c r="BJ21" s="51"/>
      <c r="BK21" s="51"/>
      <c r="BL21" s="51"/>
      <c r="BM21" s="51"/>
      <c r="BN21" s="52"/>
      <c r="BO21" s="51"/>
      <c r="BP21" s="52"/>
      <c r="BQ21" s="51"/>
      <c r="BR21" s="52"/>
      <c r="BS21" s="51"/>
      <c r="BT21" s="52"/>
      <c r="BU21" s="51"/>
      <c r="BV21" s="2"/>
      <c r="BW21" s="3"/>
      <c r="BX21" s="3"/>
      <c r="BY21" s="3"/>
      <c r="BZ21" s="3"/>
    </row>
    <row r="22" spans="1:78" ht="41.45" customHeight="1">
      <c r="A22" s="14" t="s">
        <v>256</v>
      </c>
      <c r="C22" s="15"/>
      <c r="D22" s="15" t="s">
        <v>64</v>
      </c>
      <c r="E22" s="92">
        <v>600.21892180192</v>
      </c>
      <c r="F22" s="79"/>
      <c r="G22" s="111" t="str">
        <f>HYPERLINK("https://pbs.twimg.com/profile_images/1419495855661326341/9oSpw9tv_normal.jpg")</f>
        <v>https://pbs.twimg.com/profile_images/1419495855661326341/9oSpw9tv_normal.jpg</v>
      </c>
      <c r="H22" s="15"/>
      <c r="I22" s="16" t="s">
        <v>256</v>
      </c>
      <c r="J22" s="67"/>
      <c r="K22" s="67"/>
      <c r="L22" s="113" t="s">
        <v>504</v>
      </c>
      <c r="M22" s="93">
        <v>1888.0240478587928</v>
      </c>
      <c r="N22" s="94">
        <v>913.6204833984375</v>
      </c>
      <c r="O22" s="94">
        <v>7091.05712890625</v>
      </c>
      <c r="P22" s="78"/>
      <c r="Q22" s="95"/>
      <c r="R22" s="95"/>
      <c r="S22" s="96"/>
      <c r="T22" s="51">
        <v>2</v>
      </c>
      <c r="U22" s="51">
        <v>0</v>
      </c>
      <c r="V22" s="52">
        <v>0</v>
      </c>
      <c r="W22" s="52">
        <v>0.02</v>
      </c>
      <c r="X22" s="52">
        <v>0.030685</v>
      </c>
      <c r="Y22" s="52">
        <v>0.568247</v>
      </c>
      <c r="Z22" s="52">
        <v>1</v>
      </c>
      <c r="AA22" s="52">
        <v>0</v>
      </c>
      <c r="AB22" s="80">
        <v>22</v>
      </c>
      <c r="AC22" s="80"/>
      <c r="AD22" s="97"/>
      <c r="AE22" s="82" t="s">
        <v>365</v>
      </c>
      <c r="AF22" s="91" t="s">
        <v>402</v>
      </c>
      <c r="AG22" s="82">
        <v>347</v>
      </c>
      <c r="AH22" s="82">
        <v>6440</v>
      </c>
      <c r="AI22" s="82">
        <v>45876</v>
      </c>
      <c r="AJ22" s="82">
        <v>163842</v>
      </c>
      <c r="AK22" s="82"/>
      <c r="AL22" s="82" t="s">
        <v>437</v>
      </c>
      <c r="AM22" s="82" t="s">
        <v>472</v>
      </c>
      <c r="AN22" s="82"/>
      <c r="AO22" s="82"/>
      <c r="AP22" s="84">
        <v>43973.67287037037</v>
      </c>
      <c r="AQ22" s="88" t="str">
        <f>HYPERLINK("https://pbs.twimg.com/profile_banners/1263864359219982337/1626053731")</f>
        <v>https://pbs.twimg.com/profile_banners/1263864359219982337/1626053731</v>
      </c>
      <c r="AR22" s="82" t="b">
        <v>1</v>
      </c>
      <c r="AS22" s="82" t="b">
        <v>0</v>
      </c>
      <c r="AT22" s="82" t="b">
        <v>1</v>
      </c>
      <c r="AU22" s="82"/>
      <c r="AV22" s="82">
        <v>15</v>
      </c>
      <c r="AW22" s="82"/>
      <c r="AX22" s="82" t="b">
        <v>0</v>
      </c>
      <c r="AY22" s="82" t="s">
        <v>485</v>
      </c>
      <c r="AZ22" s="88" t="str">
        <f>HYPERLINK("https://twitter.com/sri_sri_yd")</f>
        <v>https://twitter.com/sri_sri_yd</v>
      </c>
      <c r="BA22" s="82" t="s">
        <v>65</v>
      </c>
      <c r="BB22" s="82" t="str">
        <f>REPLACE(INDEX(GroupVertices[Group],MATCH(Vertices[[#This Row],[Vertex]],GroupVertices[Vertex],0)),1,1,"")</f>
        <v>1</v>
      </c>
      <c r="BC22" s="51"/>
      <c r="BD22" s="51"/>
      <c r="BE22" s="51"/>
      <c r="BF22" s="51"/>
      <c r="BG22" s="51"/>
      <c r="BH22" s="51"/>
      <c r="BI22" s="51"/>
      <c r="BJ22" s="51"/>
      <c r="BK22" s="51"/>
      <c r="BL22" s="51"/>
      <c r="BM22" s="51"/>
      <c r="BN22" s="52"/>
      <c r="BO22" s="51"/>
      <c r="BP22" s="52"/>
      <c r="BQ22" s="51"/>
      <c r="BR22" s="52"/>
      <c r="BS22" s="51"/>
      <c r="BT22" s="52"/>
      <c r="BU22" s="51"/>
      <c r="BV22" s="2"/>
      <c r="BW22" s="3"/>
      <c r="BX22" s="3"/>
      <c r="BY22" s="3"/>
      <c r="BZ22" s="3"/>
    </row>
    <row r="23" spans="1:78" ht="41.45" customHeight="1">
      <c r="A23" s="14" t="s">
        <v>257</v>
      </c>
      <c r="C23" s="15"/>
      <c r="D23" s="15" t="s">
        <v>64</v>
      </c>
      <c r="E23" s="92">
        <v>259.91679658652663</v>
      </c>
      <c r="F23" s="79"/>
      <c r="G23" s="111" t="str">
        <f>HYPERLINK("https://pbs.twimg.com/profile_images/1409500625944006657/KuiKIbU9_normal.jpg")</f>
        <v>https://pbs.twimg.com/profile_images/1409500625944006657/KuiKIbU9_normal.jpg</v>
      </c>
      <c r="H23" s="15"/>
      <c r="I23" s="16" t="s">
        <v>257</v>
      </c>
      <c r="J23" s="67"/>
      <c r="K23" s="67"/>
      <c r="L23" s="113" t="s">
        <v>505</v>
      </c>
      <c r="M23" s="93">
        <v>422.6416513652787</v>
      </c>
      <c r="N23" s="94">
        <v>520.4235229492188</v>
      </c>
      <c r="O23" s="94">
        <v>4351.765625</v>
      </c>
      <c r="P23" s="78"/>
      <c r="Q23" s="95"/>
      <c r="R23" s="95"/>
      <c r="S23" s="96"/>
      <c r="T23" s="51">
        <v>2</v>
      </c>
      <c r="U23" s="51">
        <v>0</v>
      </c>
      <c r="V23" s="52">
        <v>0</v>
      </c>
      <c r="W23" s="52">
        <v>0.02</v>
      </c>
      <c r="X23" s="52">
        <v>0.030685</v>
      </c>
      <c r="Y23" s="52">
        <v>0.568247</v>
      </c>
      <c r="Z23" s="52">
        <v>1</v>
      </c>
      <c r="AA23" s="52">
        <v>0</v>
      </c>
      <c r="AB23" s="80">
        <v>23</v>
      </c>
      <c r="AC23" s="80"/>
      <c r="AD23" s="97"/>
      <c r="AE23" s="82" t="s">
        <v>366</v>
      </c>
      <c r="AF23" s="91" t="s">
        <v>403</v>
      </c>
      <c r="AG23" s="82">
        <v>533</v>
      </c>
      <c r="AH23" s="82">
        <v>1491</v>
      </c>
      <c r="AI23" s="82">
        <v>38220</v>
      </c>
      <c r="AJ23" s="82">
        <v>174712</v>
      </c>
      <c r="AK23" s="82"/>
      <c r="AL23" s="82" t="s">
        <v>438</v>
      </c>
      <c r="AM23" s="82" t="s">
        <v>473</v>
      </c>
      <c r="AN23" s="82"/>
      <c r="AO23" s="82"/>
      <c r="AP23" s="84">
        <v>40997.261412037034</v>
      </c>
      <c r="AQ23" s="88" t="str">
        <f>HYPERLINK("https://pbs.twimg.com/profile_banners/539716163/1624727261")</f>
        <v>https://pbs.twimg.com/profile_banners/539716163/1624727261</v>
      </c>
      <c r="AR23" s="82" t="b">
        <v>1</v>
      </c>
      <c r="AS23" s="82" t="b">
        <v>0</v>
      </c>
      <c r="AT23" s="82" t="b">
        <v>0</v>
      </c>
      <c r="AU23" s="82"/>
      <c r="AV23" s="82">
        <v>2</v>
      </c>
      <c r="AW23" s="88" t="str">
        <f>HYPERLINK("https://abs.twimg.com/images/themes/theme1/bg.png")</f>
        <v>https://abs.twimg.com/images/themes/theme1/bg.png</v>
      </c>
      <c r="AX23" s="82" t="b">
        <v>0</v>
      </c>
      <c r="AY23" s="82" t="s">
        <v>485</v>
      </c>
      <c r="AZ23" s="88" t="str">
        <f>HYPERLINK("https://twitter.com/shaktivel2")</f>
        <v>https://twitter.com/shaktivel2</v>
      </c>
      <c r="BA23" s="82" t="s">
        <v>65</v>
      </c>
      <c r="BB23" s="82" t="str">
        <f>REPLACE(INDEX(GroupVertices[Group],MATCH(Vertices[[#This Row],[Vertex]],GroupVertices[Vertex],0)),1,1,"")</f>
        <v>1</v>
      </c>
      <c r="BC23" s="51"/>
      <c r="BD23" s="51"/>
      <c r="BE23" s="51"/>
      <c r="BF23" s="51"/>
      <c r="BG23" s="51"/>
      <c r="BH23" s="51"/>
      <c r="BI23" s="51"/>
      <c r="BJ23" s="51"/>
      <c r="BK23" s="51"/>
      <c r="BL23" s="51"/>
      <c r="BM23" s="51"/>
      <c r="BN23" s="52"/>
      <c r="BO23" s="51"/>
      <c r="BP23" s="52"/>
      <c r="BQ23" s="51"/>
      <c r="BR23" s="52"/>
      <c r="BS23" s="51"/>
      <c r="BT23" s="52"/>
      <c r="BU23" s="51"/>
      <c r="BV23" s="2"/>
      <c r="BW23" s="3"/>
      <c r="BX23" s="3"/>
      <c r="BY23" s="3"/>
      <c r="BZ23" s="3"/>
    </row>
    <row r="24" spans="1:78" ht="41.45" customHeight="1">
      <c r="A24" s="14" t="s">
        <v>258</v>
      </c>
      <c r="C24" s="15"/>
      <c r="D24" s="15" t="s">
        <v>64</v>
      </c>
      <c r="E24" s="92">
        <v>1000</v>
      </c>
      <c r="F24" s="79"/>
      <c r="G24" s="111" t="str">
        <f>HYPERLINK("https://pbs.twimg.com/profile_images/1356848081367486467/GrnkInCt_normal.jpg")</f>
        <v>https://pbs.twimg.com/profile_images/1356848081367486467/GrnkInCt_normal.jpg</v>
      </c>
      <c r="H24" s="15"/>
      <c r="I24" s="16" t="s">
        <v>258</v>
      </c>
      <c r="J24" s="67"/>
      <c r="K24" s="67"/>
      <c r="L24" s="113" t="s">
        <v>506</v>
      </c>
      <c r="M24" s="93">
        <v>3609.5300598234912</v>
      </c>
      <c r="N24" s="94">
        <v>4199.22998046875</v>
      </c>
      <c r="O24" s="94">
        <v>7699.611328125</v>
      </c>
      <c r="P24" s="78"/>
      <c r="Q24" s="95"/>
      <c r="R24" s="95"/>
      <c r="S24" s="96"/>
      <c r="T24" s="51">
        <v>2</v>
      </c>
      <c r="U24" s="51">
        <v>0</v>
      </c>
      <c r="V24" s="52">
        <v>0</v>
      </c>
      <c r="W24" s="52">
        <v>0.02</v>
      </c>
      <c r="X24" s="52">
        <v>0.030685</v>
      </c>
      <c r="Y24" s="52">
        <v>0.568247</v>
      </c>
      <c r="Z24" s="52">
        <v>1</v>
      </c>
      <c r="AA24" s="52">
        <v>0</v>
      </c>
      <c r="AB24" s="80">
        <v>24</v>
      </c>
      <c r="AC24" s="80"/>
      <c r="AD24" s="97"/>
      <c r="AE24" s="82" t="s">
        <v>367</v>
      </c>
      <c r="AF24" s="91" t="s">
        <v>404</v>
      </c>
      <c r="AG24" s="82">
        <v>573</v>
      </c>
      <c r="AH24" s="82">
        <v>12254</v>
      </c>
      <c r="AI24" s="82">
        <v>7285</v>
      </c>
      <c r="AJ24" s="82">
        <v>18502</v>
      </c>
      <c r="AK24" s="82"/>
      <c r="AL24" s="82" t="s">
        <v>439</v>
      </c>
      <c r="AM24" s="82" t="s">
        <v>474</v>
      </c>
      <c r="AN24" s="88" t="str">
        <f>HYPERLINK("https://t.co/GQF8K6MEGh")</f>
        <v>https://t.co/GQF8K6MEGh</v>
      </c>
      <c r="AO24" s="82"/>
      <c r="AP24" s="84">
        <v>43917.3959837963</v>
      </c>
      <c r="AQ24" s="88" t="str">
        <f>HYPERLINK("https://pbs.twimg.com/profile_banners/1243470321656578048/1622142735")</f>
        <v>https://pbs.twimg.com/profile_banners/1243470321656578048/1622142735</v>
      </c>
      <c r="AR24" s="82" t="b">
        <v>1</v>
      </c>
      <c r="AS24" s="82" t="b">
        <v>0</v>
      </c>
      <c r="AT24" s="82" t="b">
        <v>1</v>
      </c>
      <c r="AU24" s="82"/>
      <c r="AV24" s="82">
        <v>20</v>
      </c>
      <c r="AW24" s="82"/>
      <c r="AX24" s="82" t="b">
        <v>0</v>
      </c>
      <c r="AY24" s="82" t="s">
        <v>485</v>
      </c>
      <c r="AZ24" s="88" t="str">
        <f>HYPERLINK("https://twitter.com/selvakumar_in")</f>
        <v>https://twitter.com/selvakumar_in</v>
      </c>
      <c r="BA24" s="82" t="s">
        <v>65</v>
      </c>
      <c r="BB24" s="82" t="str">
        <f>REPLACE(INDEX(GroupVertices[Group],MATCH(Vertices[[#This Row],[Vertex]],GroupVertices[Vertex],0)),1,1,"")</f>
        <v>1</v>
      </c>
      <c r="BC24" s="51"/>
      <c r="BD24" s="51"/>
      <c r="BE24" s="51"/>
      <c r="BF24" s="51"/>
      <c r="BG24" s="51"/>
      <c r="BH24" s="51"/>
      <c r="BI24" s="51"/>
      <c r="BJ24" s="51"/>
      <c r="BK24" s="51"/>
      <c r="BL24" s="51"/>
      <c r="BM24" s="51"/>
      <c r="BN24" s="52"/>
      <c r="BO24" s="51"/>
      <c r="BP24" s="52"/>
      <c r="BQ24" s="51"/>
      <c r="BR24" s="52"/>
      <c r="BS24" s="51"/>
      <c r="BT24" s="52"/>
      <c r="BU24" s="51"/>
      <c r="BV24" s="2"/>
      <c r="BW24" s="3"/>
      <c r="BX24" s="3"/>
      <c r="BY24" s="3"/>
      <c r="BZ24" s="3"/>
    </row>
    <row r="25" spans="1:78" ht="41.45" customHeight="1">
      <c r="A25" s="14" t="s">
        <v>259</v>
      </c>
      <c r="C25" s="15"/>
      <c r="D25" s="15" t="s">
        <v>64</v>
      </c>
      <c r="E25" s="92">
        <v>261.3607942889965</v>
      </c>
      <c r="F25" s="79"/>
      <c r="G25" s="111" t="str">
        <f>HYPERLINK("https://pbs.twimg.com/profile_images/1440484300609130502/EBoWlRqV_normal.jpg")</f>
        <v>https://pbs.twimg.com/profile_images/1440484300609130502/EBoWlRqV_normal.jpg</v>
      </c>
      <c r="H25" s="15"/>
      <c r="I25" s="16" t="s">
        <v>259</v>
      </c>
      <c r="J25" s="67"/>
      <c r="K25" s="67"/>
      <c r="L25" s="113" t="s">
        <v>507</v>
      </c>
      <c r="M25" s="93">
        <v>428.8596813362554</v>
      </c>
      <c r="N25" s="94">
        <v>2039.7728271484375</v>
      </c>
      <c r="O25" s="94">
        <v>3107.805419921875</v>
      </c>
      <c r="P25" s="78"/>
      <c r="Q25" s="95"/>
      <c r="R25" s="95"/>
      <c r="S25" s="96"/>
      <c r="T25" s="51">
        <v>2</v>
      </c>
      <c r="U25" s="51">
        <v>0</v>
      </c>
      <c r="V25" s="52">
        <v>0</v>
      </c>
      <c r="W25" s="52">
        <v>0.02</v>
      </c>
      <c r="X25" s="52">
        <v>0.030685</v>
      </c>
      <c r="Y25" s="52">
        <v>0.568247</v>
      </c>
      <c r="Z25" s="52">
        <v>1</v>
      </c>
      <c r="AA25" s="52">
        <v>0</v>
      </c>
      <c r="AB25" s="80">
        <v>25</v>
      </c>
      <c r="AC25" s="80"/>
      <c r="AD25" s="97"/>
      <c r="AE25" s="82" t="s">
        <v>368</v>
      </c>
      <c r="AF25" s="91" t="s">
        <v>405</v>
      </c>
      <c r="AG25" s="82">
        <v>951</v>
      </c>
      <c r="AH25" s="82">
        <v>1512</v>
      </c>
      <c r="AI25" s="82">
        <v>11188</v>
      </c>
      <c r="AJ25" s="82">
        <v>33233</v>
      </c>
      <c r="AK25" s="82"/>
      <c r="AL25" s="82" t="s">
        <v>440</v>
      </c>
      <c r="AM25" s="82" t="s">
        <v>475</v>
      </c>
      <c r="AN25" s="82"/>
      <c r="AO25" s="82"/>
      <c r="AP25" s="84">
        <v>42009.41011574074</v>
      </c>
      <c r="AQ25" s="88" t="str">
        <f>HYPERLINK("https://pbs.twimg.com/profile_banners/2959432734/1610377271")</f>
        <v>https://pbs.twimg.com/profile_banners/2959432734/1610377271</v>
      </c>
      <c r="AR25" s="82" t="b">
        <v>1</v>
      </c>
      <c r="AS25" s="82" t="b">
        <v>0</v>
      </c>
      <c r="AT25" s="82" t="b">
        <v>0</v>
      </c>
      <c r="AU25" s="82"/>
      <c r="AV25" s="82">
        <v>1</v>
      </c>
      <c r="AW25" s="88" t="str">
        <f>HYPERLINK("https://abs.twimg.com/images/themes/theme1/bg.png")</f>
        <v>https://abs.twimg.com/images/themes/theme1/bg.png</v>
      </c>
      <c r="AX25" s="82" t="b">
        <v>0</v>
      </c>
      <c r="AY25" s="82" t="s">
        <v>485</v>
      </c>
      <c r="AZ25" s="88" t="str">
        <f>HYPERLINK("https://twitter.com/drmathimaths")</f>
        <v>https://twitter.com/drmathimaths</v>
      </c>
      <c r="BA25" s="82" t="s">
        <v>65</v>
      </c>
      <c r="BB25" s="82" t="str">
        <f>REPLACE(INDEX(GroupVertices[Group],MATCH(Vertices[[#This Row],[Vertex]],GroupVertices[Vertex],0)),1,1,"")</f>
        <v>1</v>
      </c>
      <c r="BC25" s="51"/>
      <c r="BD25" s="51"/>
      <c r="BE25" s="51"/>
      <c r="BF25" s="51"/>
      <c r="BG25" s="51"/>
      <c r="BH25" s="51"/>
      <c r="BI25" s="51"/>
      <c r="BJ25" s="51"/>
      <c r="BK25" s="51"/>
      <c r="BL25" s="51"/>
      <c r="BM25" s="51"/>
      <c r="BN25" s="52"/>
      <c r="BO25" s="51"/>
      <c r="BP25" s="52"/>
      <c r="BQ25" s="51"/>
      <c r="BR25" s="52"/>
      <c r="BS25" s="51"/>
      <c r="BT25" s="52"/>
      <c r="BU25" s="51"/>
      <c r="BV25" s="2"/>
      <c r="BW25" s="3"/>
      <c r="BX25" s="3"/>
      <c r="BY25" s="3"/>
      <c r="BZ25" s="3"/>
    </row>
    <row r="26" spans="1:78" ht="41.45" customHeight="1">
      <c r="A26" s="14" t="s">
        <v>260</v>
      </c>
      <c r="C26" s="15"/>
      <c r="D26" s="15" t="s">
        <v>64</v>
      </c>
      <c r="E26" s="92">
        <v>809.5985886600475</v>
      </c>
      <c r="F26" s="79"/>
      <c r="G26" s="111" t="str">
        <f>HYPERLINK("https://pbs.twimg.com/profile_images/1428377713060974594/ZmAz-IHx_normal.jpg")</f>
        <v>https://pbs.twimg.com/profile_images/1428377713060974594/ZmAz-IHx_normal.jpg</v>
      </c>
      <c r="H26" s="15"/>
      <c r="I26" s="16" t="s">
        <v>260</v>
      </c>
      <c r="J26" s="67"/>
      <c r="K26" s="67"/>
      <c r="L26" s="113" t="s">
        <v>508</v>
      </c>
      <c r="M26" s="93">
        <v>2789.6383936504176</v>
      </c>
      <c r="N26" s="94">
        <v>6825.28857421875</v>
      </c>
      <c r="O26" s="94">
        <v>5424.404296875</v>
      </c>
      <c r="P26" s="78"/>
      <c r="Q26" s="95"/>
      <c r="R26" s="95"/>
      <c r="S26" s="96"/>
      <c r="T26" s="51">
        <v>2</v>
      </c>
      <c r="U26" s="51">
        <v>0</v>
      </c>
      <c r="V26" s="52">
        <v>0</v>
      </c>
      <c r="W26" s="52">
        <v>0.02</v>
      </c>
      <c r="X26" s="52">
        <v>0.030685</v>
      </c>
      <c r="Y26" s="52">
        <v>0.568247</v>
      </c>
      <c r="Z26" s="52">
        <v>1</v>
      </c>
      <c r="AA26" s="52">
        <v>0</v>
      </c>
      <c r="AB26" s="80">
        <v>26</v>
      </c>
      <c r="AC26" s="80"/>
      <c r="AD26" s="97"/>
      <c r="AE26" s="82" t="s">
        <v>369</v>
      </c>
      <c r="AF26" s="91" t="s">
        <v>406</v>
      </c>
      <c r="AG26" s="82">
        <v>5388</v>
      </c>
      <c r="AH26" s="82">
        <v>9485</v>
      </c>
      <c r="AI26" s="82">
        <v>28934</v>
      </c>
      <c r="AJ26" s="82">
        <v>109846</v>
      </c>
      <c r="AK26" s="82"/>
      <c r="AL26" s="82" t="s">
        <v>441</v>
      </c>
      <c r="AM26" s="82"/>
      <c r="AN26" s="82"/>
      <c r="AO26" s="82"/>
      <c r="AP26" s="84">
        <v>43345.20657407407</v>
      </c>
      <c r="AQ26" s="88" t="str">
        <f>HYPERLINK("https://pbs.twimg.com/profile_banners/1036115869661687808/1535864354")</f>
        <v>https://pbs.twimg.com/profile_banners/1036115869661687808/1535864354</v>
      </c>
      <c r="AR26" s="82" t="b">
        <v>1</v>
      </c>
      <c r="AS26" s="82" t="b">
        <v>0</v>
      </c>
      <c r="AT26" s="82" t="b">
        <v>1</v>
      </c>
      <c r="AU26" s="82"/>
      <c r="AV26" s="82">
        <v>6</v>
      </c>
      <c r="AW26" s="82"/>
      <c r="AX26" s="82" t="b">
        <v>0</v>
      </c>
      <c r="AY26" s="82" t="s">
        <v>485</v>
      </c>
      <c r="AZ26" s="88" t="str">
        <f>HYPERLINK("https://twitter.com/maha_simha")</f>
        <v>https://twitter.com/maha_simha</v>
      </c>
      <c r="BA26" s="82" t="s">
        <v>65</v>
      </c>
      <c r="BB26" s="82" t="str">
        <f>REPLACE(INDEX(GroupVertices[Group],MATCH(Vertices[[#This Row],[Vertex]],GroupVertices[Vertex],0)),1,1,"")</f>
        <v>1</v>
      </c>
      <c r="BC26" s="51"/>
      <c r="BD26" s="51"/>
      <c r="BE26" s="51"/>
      <c r="BF26" s="51"/>
      <c r="BG26" s="51"/>
      <c r="BH26" s="51"/>
      <c r="BI26" s="51"/>
      <c r="BJ26" s="51"/>
      <c r="BK26" s="51"/>
      <c r="BL26" s="51"/>
      <c r="BM26" s="51"/>
      <c r="BN26" s="52"/>
      <c r="BO26" s="51"/>
      <c r="BP26" s="52"/>
      <c r="BQ26" s="51"/>
      <c r="BR26" s="52"/>
      <c r="BS26" s="51"/>
      <c r="BT26" s="52"/>
      <c r="BU26" s="51"/>
      <c r="BV26" s="2"/>
      <c r="BW26" s="3"/>
      <c r="BX26" s="3"/>
      <c r="BY26" s="3"/>
      <c r="BZ26" s="3"/>
    </row>
    <row r="27" spans="1:78" ht="41.45" customHeight="1">
      <c r="A27" s="14" t="s">
        <v>261</v>
      </c>
      <c r="C27" s="15"/>
      <c r="D27" s="15" t="s">
        <v>64</v>
      </c>
      <c r="E27" s="92">
        <v>1000</v>
      </c>
      <c r="F27" s="79"/>
      <c r="G27" s="111" t="str">
        <f>HYPERLINK("https://pbs.twimg.com/profile_images/1435210164043354112/ZYP5474V_normal.jpg")</f>
        <v>https://pbs.twimg.com/profile_images/1435210164043354112/ZYP5474V_normal.jpg</v>
      </c>
      <c r="H27" s="15"/>
      <c r="I27" s="16" t="s">
        <v>261</v>
      </c>
      <c r="J27" s="67"/>
      <c r="K27" s="67"/>
      <c r="L27" s="113" t="s">
        <v>509</v>
      </c>
      <c r="M27" s="93">
        <v>6534.076822839543</v>
      </c>
      <c r="N27" s="94">
        <v>2609.599853515625</v>
      </c>
      <c r="O27" s="94">
        <v>1654.0230712890625</v>
      </c>
      <c r="P27" s="78"/>
      <c r="Q27" s="95"/>
      <c r="R27" s="95"/>
      <c r="S27" s="96"/>
      <c r="T27" s="51">
        <v>2</v>
      </c>
      <c r="U27" s="51">
        <v>0</v>
      </c>
      <c r="V27" s="52">
        <v>0</v>
      </c>
      <c r="W27" s="52">
        <v>0.02</v>
      </c>
      <c r="X27" s="52">
        <v>0.030685</v>
      </c>
      <c r="Y27" s="52">
        <v>0.568247</v>
      </c>
      <c r="Z27" s="52">
        <v>1</v>
      </c>
      <c r="AA27" s="52">
        <v>0</v>
      </c>
      <c r="AB27" s="80">
        <v>27</v>
      </c>
      <c r="AC27" s="80"/>
      <c r="AD27" s="97"/>
      <c r="AE27" s="82" t="s">
        <v>370</v>
      </c>
      <c r="AF27" s="91" t="s">
        <v>407</v>
      </c>
      <c r="AG27" s="82">
        <v>8392</v>
      </c>
      <c r="AH27" s="82">
        <v>22131</v>
      </c>
      <c r="AI27" s="82">
        <v>359634</v>
      </c>
      <c r="AJ27" s="82">
        <v>422271</v>
      </c>
      <c r="AK27" s="82"/>
      <c r="AL27" s="82" t="s">
        <v>442</v>
      </c>
      <c r="AM27" s="82" t="s">
        <v>476</v>
      </c>
      <c r="AN27" s="82"/>
      <c r="AO27" s="82"/>
      <c r="AP27" s="84">
        <v>42874.96228009259</v>
      </c>
      <c r="AQ27" s="88" t="str">
        <f>HYPERLINK("https://pbs.twimg.com/profile_banners/865705043516825601/1627294541")</f>
        <v>https://pbs.twimg.com/profile_banners/865705043516825601/1627294541</v>
      </c>
      <c r="AR27" s="82" t="b">
        <v>1</v>
      </c>
      <c r="AS27" s="82" t="b">
        <v>0</v>
      </c>
      <c r="AT27" s="82" t="b">
        <v>1</v>
      </c>
      <c r="AU27" s="82"/>
      <c r="AV27" s="82">
        <v>34</v>
      </c>
      <c r="AW27" s="82"/>
      <c r="AX27" s="82" t="b">
        <v>0</v>
      </c>
      <c r="AY27" s="82" t="s">
        <v>485</v>
      </c>
      <c r="AZ27" s="88" t="str">
        <f>HYPERLINK("https://twitter.com/srjk22")</f>
        <v>https://twitter.com/srjk22</v>
      </c>
      <c r="BA27" s="82" t="s">
        <v>65</v>
      </c>
      <c r="BB27" s="82" t="str">
        <f>REPLACE(INDEX(GroupVertices[Group],MATCH(Vertices[[#This Row],[Vertex]],GroupVertices[Vertex],0)),1,1,"")</f>
        <v>1</v>
      </c>
      <c r="BC27" s="51"/>
      <c r="BD27" s="51"/>
      <c r="BE27" s="51"/>
      <c r="BF27" s="51"/>
      <c r="BG27" s="51"/>
      <c r="BH27" s="51"/>
      <c r="BI27" s="51"/>
      <c r="BJ27" s="51"/>
      <c r="BK27" s="51"/>
      <c r="BL27" s="51"/>
      <c r="BM27" s="51"/>
      <c r="BN27" s="52"/>
      <c r="BO27" s="51"/>
      <c r="BP27" s="52"/>
      <c r="BQ27" s="51"/>
      <c r="BR27" s="52"/>
      <c r="BS27" s="51"/>
      <c r="BT27" s="52"/>
      <c r="BU27" s="51"/>
      <c r="BV27" s="2"/>
      <c r="BW27" s="3"/>
      <c r="BX27" s="3"/>
      <c r="BY27" s="3"/>
      <c r="BZ27" s="3"/>
    </row>
    <row r="28" spans="1:78" ht="41.45" customHeight="1">
      <c r="A28" s="14" t="s">
        <v>262</v>
      </c>
      <c r="C28" s="15"/>
      <c r="D28" s="15" t="s">
        <v>64</v>
      </c>
      <c r="E28" s="92">
        <v>1000</v>
      </c>
      <c r="F28" s="79"/>
      <c r="G28" s="111" t="str">
        <f>HYPERLINK("https://pbs.twimg.com/profile_images/1437456180150878208/m56NU2ia_normal.jpg")</f>
        <v>https://pbs.twimg.com/profile_images/1437456180150878208/m56NU2ia_normal.jpg</v>
      </c>
      <c r="H28" s="15"/>
      <c r="I28" s="16" t="s">
        <v>262</v>
      </c>
      <c r="J28" s="67"/>
      <c r="K28" s="67"/>
      <c r="L28" s="113" t="s">
        <v>510</v>
      </c>
      <c r="M28" s="93">
        <v>3954.482674880057</v>
      </c>
      <c r="N28" s="94">
        <v>5369.201171875</v>
      </c>
      <c r="O28" s="94">
        <v>3824.5751953125</v>
      </c>
      <c r="P28" s="78"/>
      <c r="Q28" s="95"/>
      <c r="R28" s="95"/>
      <c r="S28" s="96"/>
      <c r="T28" s="51">
        <v>2</v>
      </c>
      <c r="U28" s="51">
        <v>0</v>
      </c>
      <c r="V28" s="52">
        <v>0</v>
      </c>
      <c r="W28" s="52">
        <v>0.02</v>
      </c>
      <c r="X28" s="52">
        <v>0.030685</v>
      </c>
      <c r="Y28" s="52">
        <v>0.568247</v>
      </c>
      <c r="Z28" s="52">
        <v>1</v>
      </c>
      <c r="AA28" s="52">
        <v>0</v>
      </c>
      <c r="AB28" s="80">
        <v>28</v>
      </c>
      <c r="AC28" s="80"/>
      <c r="AD28" s="97"/>
      <c r="AE28" s="82" t="s">
        <v>371</v>
      </c>
      <c r="AF28" s="91" t="s">
        <v>408</v>
      </c>
      <c r="AG28" s="82">
        <v>1334</v>
      </c>
      <c r="AH28" s="82">
        <v>13419</v>
      </c>
      <c r="AI28" s="82">
        <v>50390</v>
      </c>
      <c r="AJ28" s="82">
        <v>8291</v>
      </c>
      <c r="AK28" s="82"/>
      <c r="AL28" s="82" t="s">
        <v>443</v>
      </c>
      <c r="AM28" s="82"/>
      <c r="AN28" s="82"/>
      <c r="AO28" s="82"/>
      <c r="AP28" s="84">
        <v>41302.28821759259</v>
      </c>
      <c r="AQ28" s="88" t="str">
        <f>HYPERLINK("https://pbs.twimg.com/profile_banners/1127245123/1582130014")</f>
        <v>https://pbs.twimg.com/profile_banners/1127245123/1582130014</v>
      </c>
      <c r="AR28" s="82" t="b">
        <v>1</v>
      </c>
      <c r="AS28" s="82" t="b">
        <v>0</v>
      </c>
      <c r="AT28" s="82" t="b">
        <v>0</v>
      </c>
      <c r="AU28" s="82"/>
      <c r="AV28" s="82">
        <v>14</v>
      </c>
      <c r="AW28" s="88" t="str">
        <f>HYPERLINK("https://abs.twimg.com/images/themes/theme1/bg.png")</f>
        <v>https://abs.twimg.com/images/themes/theme1/bg.png</v>
      </c>
      <c r="AX28" s="82" t="b">
        <v>0</v>
      </c>
      <c r="AY28" s="82" t="s">
        <v>485</v>
      </c>
      <c r="AZ28" s="88" t="str">
        <f>HYPERLINK("https://twitter.com/aarjeekaykannan")</f>
        <v>https://twitter.com/aarjeekaykannan</v>
      </c>
      <c r="BA28" s="82" t="s">
        <v>65</v>
      </c>
      <c r="BB28" s="82" t="str">
        <f>REPLACE(INDEX(GroupVertices[Group],MATCH(Vertices[[#This Row],[Vertex]],GroupVertices[Vertex],0)),1,1,"")</f>
        <v>1</v>
      </c>
      <c r="BC28" s="51"/>
      <c r="BD28" s="51"/>
      <c r="BE28" s="51"/>
      <c r="BF28" s="51"/>
      <c r="BG28" s="51"/>
      <c r="BH28" s="51"/>
      <c r="BI28" s="51"/>
      <c r="BJ28" s="51"/>
      <c r="BK28" s="51"/>
      <c r="BL28" s="51"/>
      <c r="BM28" s="51"/>
      <c r="BN28" s="52"/>
      <c r="BO28" s="51"/>
      <c r="BP28" s="52"/>
      <c r="BQ28" s="51"/>
      <c r="BR28" s="52"/>
      <c r="BS28" s="51"/>
      <c r="BT28" s="52"/>
      <c r="BU28" s="51"/>
      <c r="BV28" s="2"/>
      <c r="BW28" s="3"/>
      <c r="BX28" s="3"/>
      <c r="BY28" s="3"/>
      <c r="BZ28" s="3"/>
    </row>
    <row r="29" spans="1:78" ht="41.45" customHeight="1">
      <c r="A29" s="14" t="s">
        <v>263</v>
      </c>
      <c r="C29" s="15"/>
      <c r="D29" s="15" t="s">
        <v>64</v>
      </c>
      <c r="E29" s="92">
        <v>348.8945597768113</v>
      </c>
      <c r="F29" s="79"/>
      <c r="G29" s="111" t="str">
        <f>HYPERLINK("https://pbs.twimg.com/profile_images/1338794645275303936/s-84ROBC_normal.jpg")</f>
        <v>https://pbs.twimg.com/profile_images/1338794645275303936/s-84ROBC_normal.jpg</v>
      </c>
      <c r="H29" s="15"/>
      <c r="I29" s="16" t="s">
        <v>263</v>
      </c>
      <c r="J29" s="67"/>
      <c r="K29" s="67"/>
      <c r="L29" s="113" t="s">
        <v>511</v>
      </c>
      <c r="M29" s="93">
        <v>805.7907362435586</v>
      </c>
      <c r="N29" s="94">
        <v>3724.361572265625</v>
      </c>
      <c r="O29" s="94">
        <v>2444.393310546875</v>
      </c>
      <c r="P29" s="78"/>
      <c r="Q29" s="95"/>
      <c r="R29" s="95"/>
      <c r="S29" s="96"/>
      <c r="T29" s="51">
        <v>2</v>
      </c>
      <c r="U29" s="51">
        <v>0</v>
      </c>
      <c r="V29" s="52">
        <v>0</v>
      </c>
      <c r="W29" s="52">
        <v>0.02</v>
      </c>
      <c r="X29" s="52">
        <v>0.030685</v>
      </c>
      <c r="Y29" s="52">
        <v>0.568247</v>
      </c>
      <c r="Z29" s="52">
        <v>1</v>
      </c>
      <c r="AA29" s="52">
        <v>0</v>
      </c>
      <c r="AB29" s="80">
        <v>29</v>
      </c>
      <c r="AC29" s="80"/>
      <c r="AD29" s="97"/>
      <c r="AE29" s="82" t="s">
        <v>372</v>
      </c>
      <c r="AF29" s="91" t="s">
        <v>409</v>
      </c>
      <c r="AG29" s="82">
        <v>1636</v>
      </c>
      <c r="AH29" s="82">
        <v>2785</v>
      </c>
      <c r="AI29" s="82">
        <v>19602</v>
      </c>
      <c r="AJ29" s="82">
        <v>196220</v>
      </c>
      <c r="AK29" s="82"/>
      <c r="AL29" s="82" t="s">
        <v>444</v>
      </c>
      <c r="AM29" s="82" t="s">
        <v>477</v>
      </c>
      <c r="AN29" s="82"/>
      <c r="AO29" s="82"/>
      <c r="AP29" s="84">
        <v>43936.20175925926</v>
      </c>
      <c r="AQ29" s="88" t="str">
        <f>HYPERLINK("https://pbs.twimg.com/profile_banners/1250285286870757378/1599320022")</f>
        <v>https://pbs.twimg.com/profile_banners/1250285286870757378/1599320022</v>
      </c>
      <c r="AR29" s="82" t="b">
        <v>1</v>
      </c>
      <c r="AS29" s="82" t="b">
        <v>0</v>
      </c>
      <c r="AT29" s="82" t="b">
        <v>1</v>
      </c>
      <c r="AU29" s="82"/>
      <c r="AV29" s="82">
        <v>4</v>
      </c>
      <c r="AW29" s="82"/>
      <c r="AX29" s="82" t="b">
        <v>0</v>
      </c>
      <c r="AY29" s="82" t="s">
        <v>485</v>
      </c>
      <c r="AZ29" s="88" t="str">
        <f>HYPERLINK("https://twitter.com/revenge1967")</f>
        <v>https://twitter.com/revenge1967</v>
      </c>
      <c r="BA29" s="82" t="s">
        <v>65</v>
      </c>
      <c r="BB29" s="82" t="str">
        <f>REPLACE(INDEX(GroupVertices[Group],MATCH(Vertices[[#This Row],[Vertex]],GroupVertices[Vertex],0)),1,1,"")</f>
        <v>1</v>
      </c>
      <c r="BC29" s="51"/>
      <c r="BD29" s="51"/>
      <c r="BE29" s="51"/>
      <c r="BF29" s="51"/>
      <c r="BG29" s="51"/>
      <c r="BH29" s="51"/>
      <c r="BI29" s="51"/>
      <c r="BJ29" s="51"/>
      <c r="BK29" s="51"/>
      <c r="BL29" s="51"/>
      <c r="BM29" s="51"/>
      <c r="BN29" s="52"/>
      <c r="BO29" s="51"/>
      <c r="BP29" s="52"/>
      <c r="BQ29" s="51"/>
      <c r="BR29" s="52"/>
      <c r="BS29" s="51"/>
      <c r="BT29" s="52"/>
      <c r="BU29" s="51"/>
      <c r="BV29" s="2"/>
      <c r="BW29" s="3"/>
      <c r="BX29" s="3"/>
      <c r="BY29" s="3"/>
      <c r="BZ29" s="3"/>
    </row>
    <row r="30" spans="1:78" ht="41.45" customHeight="1">
      <c r="A30" s="14" t="s">
        <v>264</v>
      </c>
      <c r="C30" s="15"/>
      <c r="D30" s="15" t="s">
        <v>64</v>
      </c>
      <c r="E30" s="92">
        <v>359.1400672848117</v>
      </c>
      <c r="F30" s="79"/>
      <c r="G30" s="111" t="str">
        <f>HYPERLINK("https://pbs.twimg.com/profile_images/1354420614736408579/9WRqlkjW_normal.jpg")</f>
        <v>https://pbs.twimg.com/profile_images/1354420614736408579/9WRqlkjW_normal.jpg</v>
      </c>
      <c r="H30" s="15"/>
      <c r="I30" s="16" t="s">
        <v>264</v>
      </c>
      <c r="J30" s="67"/>
      <c r="K30" s="67"/>
      <c r="L30" s="113" t="s">
        <v>512</v>
      </c>
      <c r="M30" s="93">
        <v>849.9091393709649</v>
      </c>
      <c r="N30" s="94">
        <v>2572.622802734375</v>
      </c>
      <c r="O30" s="94">
        <v>8855.9208984375</v>
      </c>
      <c r="P30" s="78"/>
      <c r="Q30" s="95"/>
      <c r="R30" s="95"/>
      <c r="S30" s="96"/>
      <c r="T30" s="51">
        <v>2</v>
      </c>
      <c r="U30" s="51">
        <v>0</v>
      </c>
      <c r="V30" s="52">
        <v>0</v>
      </c>
      <c r="W30" s="52">
        <v>0.02</v>
      </c>
      <c r="X30" s="52">
        <v>0.030685</v>
      </c>
      <c r="Y30" s="52">
        <v>0.568247</v>
      </c>
      <c r="Z30" s="52">
        <v>1</v>
      </c>
      <c r="AA30" s="52">
        <v>0</v>
      </c>
      <c r="AB30" s="80">
        <v>30</v>
      </c>
      <c r="AC30" s="80"/>
      <c r="AD30" s="97"/>
      <c r="AE30" s="82" t="s">
        <v>373</v>
      </c>
      <c r="AF30" s="91" t="s">
        <v>410</v>
      </c>
      <c r="AG30" s="82">
        <v>2593</v>
      </c>
      <c r="AH30" s="82">
        <v>2934</v>
      </c>
      <c r="AI30" s="82">
        <v>46028</v>
      </c>
      <c r="AJ30" s="82">
        <v>71112</v>
      </c>
      <c r="AK30" s="82"/>
      <c r="AL30" s="82" t="s">
        <v>445</v>
      </c>
      <c r="AM30" s="82" t="s">
        <v>471</v>
      </c>
      <c r="AN30" s="88" t="str">
        <f>HYPERLINK("https://t.co/JqF0sdRS6I")</f>
        <v>https://t.co/JqF0sdRS6I</v>
      </c>
      <c r="AO30" s="82"/>
      <c r="AP30" s="84">
        <v>44176.913831018515</v>
      </c>
      <c r="AQ30" s="88" t="str">
        <f>HYPERLINK("https://pbs.twimg.com/profile_banners/1337516386390745090/1610137362")</f>
        <v>https://pbs.twimg.com/profile_banners/1337516386390745090/1610137362</v>
      </c>
      <c r="AR30" s="82" t="b">
        <v>1</v>
      </c>
      <c r="AS30" s="82" t="b">
        <v>0</v>
      </c>
      <c r="AT30" s="82" t="b">
        <v>1</v>
      </c>
      <c r="AU30" s="82"/>
      <c r="AV30" s="82">
        <v>2</v>
      </c>
      <c r="AW30" s="82"/>
      <c r="AX30" s="82" t="b">
        <v>0</v>
      </c>
      <c r="AY30" s="82" t="s">
        <v>485</v>
      </c>
      <c r="AZ30" s="88" t="str">
        <f>HYPERLINK("https://twitter.com/harisri213")</f>
        <v>https://twitter.com/harisri213</v>
      </c>
      <c r="BA30" s="82" t="s">
        <v>65</v>
      </c>
      <c r="BB30" s="82" t="str">
        <f>REPLACE(INDEX(GroupVertices[Group],MATCH(Vertices[[#This Row],[Vertex]],GroupVertices[Vertex],0)),1,1,"")</f>
        <v>1</v>
      </c>
      <c r="BC30" s="51"/>
      <c r="BD30" s="51"/>
      <c r="BE30" s="51"/>
      <c r="BF30" s="51"/>
      <c r="BG30" s="51"/>
      <c r="BH30" s="51"/>
      <c r="BI30" s="51"/>
      <c r="BJ30" s="51"/>
      <c r="BK30" s="51"/>
      <c r="BL30" s="51"/>
      <c r="BM30" s="51"/>
      <c r="BN30" s="52"/>
      <c r="BO30" s="51"/>
      <c r="BP30" s="52"/>
      <c r="BQ30" s="51"/>
      <c r="BR30" s="52"/>
      <c r="BS30" s="51"/>
      <c r="BT30" s="52"/>
      <c r="BU30" s="51"/>
      <c r="BV30" s="2"/>
      <c r="BW30" s="3"/>
      <c r="BX30" s="3"/>
      <c r="BY30" s="3"/>
      <c r="BZ30" s="3"/>
    </row>
    <row r="31" spans="1:78" ht="41.45" customHeight="1">
      <c r="A31" s="14" t="s">
        <v>265</v>
      </c>
      <c r="C31" s="15"/>
      <c r="D31" s="15" t="s">
        <v>64</v>
      </c>
      <c r="E31" s="92">
        <v>248.50233855747928</v>
      </c>
      <c r="F31" s="79"/>
      <c r="G31" s="111" t="str">
        <f>HYPERLINK("https://pbs.twimg.com/profile_images/1139784351346860032/4MFuXOw-_normal.jpg")</f>
        <v>https://pbs.twimg.com/profile_images/1139784351346860032/4MFuXOw-_normal.jpg</v>
      </c>
      <c r="H31" s="15"/>
      <c r="I31" s="16" t="s">
        <v>265</v>
      </c>
      <c r="J31" s="67"/>
      <c r="K31" s="67"/>
      <c r="L31" s="113" t="s">
        <v>513</v>
      </c>
      <c r="M31" s="93">
        <v>373.4896049280341</v>
      </c>
      <c r="N31" s="94">
        <v>6636.8671875</v>
      </c>
      <c r="O31" s="94">
        <v>6834.90380859375</v>
      </c>
      <c r="P31" s="78"/>
      <c r="Q31" s="95"/>
      <c r="R31" s="95"/>
      <c r="S31" s="96"/>
      <c r="T31" s="51">
        <v>2</v>
      </c>
      <c r="U31" s="51">
        <v>0</v>
      </c>
      <c r="V31" s="52">
        <v>0</v>
      </c>
      <c r="W31" s="52">
        <v>0.02</v>
      </c>
      <c r="X31" s="52">
        <v>0.030685</v>
      </c>
      <c r="Y31" s="52">
        <v>0.568247</v>
      </c>
      <c r="Z31" s="52">
        <v>1</v>
      </c>
      <c r="AA31" s="52">
        <v>0</v>
      </c>
      <c r="AB31" s="80">
        <v>31</v>
      </c>
      <c r="AC31" s="80"/>
      <c r="AD31" s="97"/>
      <c r="AE31" s="82" t="s">
        <v>374</v>
      </c>
      <c r="AF31" s="91" t="s">
        <v>411</v>
      </c>
      <c r="AG31" s="82">
        <v>694</v>
      </c>
      <c r="AH31" s="82">
        <v>1325</v>
      </c>
      <c r="AI31" s="82">
        <v>11922</v>
      </c>
      <c r="AJ31" s="82">
        <v>6691</v>
      </c>
      <c r="AK31" s="82"/>
      <c r="AL31" s="82"/>
      <c r="AM31" s="82"/>
      <c r="AN31" s="82"/>
      <c r="AO31" s="82"/>
      <c r="AP31" s="84">
        <v>42626.380833333336</v>
      </c>
      <c r="AQ31" s="82"/>
      <c r="AR31" s="82" t="b">
        <v>1</v>
      </c>
      <c r="AS31" s="82" t="b">
        <v>0</v>
      </c>
      <c r="AT31" s="82" t="b">
        <v>0</v>
      </c>
      <c r="AU31" s="82"/>
      <c r="AV31" s="82">
        <v>1</v>
      </c>
      <c r="AW31" s="82"/>
      <c r="AX31" s="82" t="b">
        <v>0</v>
      </c>
      <c r="AY31" s="82" t="s">
        <v>485</v>
      </c>
      <c r="AZ31" s="88" t="str">
        <f>HYPERLINK("https://twitter.com/srinivasan19041")</f>
        <v>https://twitter.com/srinivasan19041</v>
      </c>
      <c r="BA31" s="82" t="s">
        <v>65</v>
      </c>
      <c r="BB31" s="82" t="str">
        <f>REPLACE(INDEX(GroupVertices[Group],MATCH(Vertices[[#This Row],[Vertex]],GroupVertices[Vertex],0)),1,1,"")</f>
        <v>1</v>
      </c>
      <c r="BC31" s="51"/>
      <c r="BD31" s="51"/>
      <c r="BE31" s="51"/>
      <c r="BF31" s="51"/>
      <c r="BG31" s="51"/>
      <c r="BH31" s="51"/>
      <c r="BI31" s="51"/>
      <c r="BJ31" s="51"/>
      <c r="BK31" s="51"/>
      <c r="BL31" s="51"/>
      <c r="BM31" s="51"/>
      <c r="BN31" s="52"/>
      <c r="BO31" s="51"/>
      <c r="BP31" s="52"/>
      <c r="BQ31" s="51"/>
      <c r="BR31" s="52"/>
      <c r="BS31" s="51"/>
      <c r="BT31" s="52"/>
      <c r="BU31" s="51"/>
      <c r="BV31" s="2"/>
      <c r="BW31" s="3"/>
      <c r="BX31" s="3"/>
      <c r="BY31" s="3"/>
      <c r="BZ31" s="3"/>
    </row>
    <row r="32" spans="1:78" ht="41.45" customHeight="1">
      <c r="A32" s="14" t="s">
        <v>266</v>
      </c>
      <c r="C32" s="15"/>
      <c r="D32" s="15" t="s">
        <v>64</v>
      </c>
      <c r="E32" s="92">
        <v>173.0018872569131</v>
      </c>
      <c r="F32" s="79"/>
      <c r="G32" s="111" t="str">
        <f>HYPERLINK("https://pbs.twimg.com/profile_images/1419985956275331072/cD7-Ab7k_normal.jpg")</f>
        <v>https://pbs.twimg.com/profile_images/1419985956275331072/cD7-Ab7k_normal.jpg</v>
      </c>
      <c r="H32" s="15"/>
      <c r="I32" s="16" t="s">
        <v>266</v>
      </c>
      <c r="J32" s="67"/>
      <c r="K32" s="67"/>
      <c r="L32" s="113" t="s">
        <v>514</v>
      </c>
      <c r="M32" s="93">
        <v>48.37546644553693</v>
      </c>
      <c r="N32" s="94">
        <v>4960.923828125</v>
      </c>
      <c r="O32" s="94">
        <v>8908.0751953125</v>
      </c>
      <c r="P32" s="78"/>
      <c r="Q32" s="95"/>
      <c r="R32" s="95"/>
      <c r="S32" s="96"/>
      <c r="T32" s="51">
        <v>2</v>
      </c>
      <c r="U32" s="51">
        <v>0</v>
      </c>
      <c r="V32" s="52">
        <v>0</v>
      </c>
      <c r="W32" s="52">
        <v>0.02</v>
      </c>
      <c r="X32" s="52">
        <v>0.030685</v>
      </c>
      <c r="Y32" s="52">
        <v>0.568247</v>
      </c>
      <c r="Z32" s="52">
        <v>1</v>
      </c>
      <c r="AA32" s="52">
        <v>0</v>
      </c>
      <c r="AB32" s="80">
        <v>32</v>
      </c>
      <c r="AC32" s="80"/>
      <c r="AD32" s="97"/>
      <c r="AE32" s="82" t="s">
        <v>375</v>
      </c>
      <c r="AF32" s="91" t="s">
        <v>412</v>
      </c>
      <c r="AG32" s="82">
        <v>376</v>
      </c>
      <c r="AH32" s="82">
        <v>227</v>
      </c>
      <c r="AI32" s="82">
        <v>32146</v>
      </c>
      <c r="AJ32" s="82">
        <v>45530</v>
      </c>
      <c r="AK32" s="82"/>
      <c r="AL32" s="82" t="s">
        <v>446</v>
      </c>
      <c r="AM32" s="82" t="s">
        <v>478</v>
      </c>
      <c r="AN32" s="88" t="str">
        <f>HYPERLINK("https://t.co/Q59M1c6hy2")</f>
        <v>https://t.co/Q59M1c6hy2</v>
      </c>
      <c r="AO32" s="82"/>
      <c r="AP32" s="84">
        <v>42779.72976851852</v>
      </c>
      <c r="AQ32" s="88" t="str">
        <f>HYPERLINK("https://pbs.twimg.com/profile_banners/831193937746526211/1630367006")</f>
        <v>https://pbs.twimg.com/profile_banners/831193937746526211/1630367006</v>
      </c>
      <c r="AR32" s="82" t="b">
        <v>1</v>
      </c>
      <c r="AS32" s="82" t="b">
        <v>0</v>
      </c>
      <c r="AT32" s="82" t="b">
        <v>0</v>
      </c>
      <c r="AU32" s="82"/>
      <c r="AV32" s="82">
        <v>0</v>
      </c>
      <c r="AW32" s="82"/>
      <c r="AX32" s="82" t="b">
        <v>0</v>
      </c>
      <c r="AY32" s="82" t="s">
        <v>485</v>
      </c>
      <c r="AZ32" s="88" t="str">
        <f>HYPERLINK("https://twitter.com/vibhu_prabhu")</f>
        <v>https://twitter.com/vibhu_prabhu</v>
      </c>
      <c r="BA32" s="82" t="s">
        <v>65</v>
      </c>
      <c r="BB32" s="82" t="str">
        <f>REPLACE(INDEX(GroupVertices[Group],MATCH(Vertices[[#This Row],[Vertex]],GroupVertices[Vertex],0)),1,1,"")</f>
        <v>1</v>
      </c>
      <c r="BC32" s="51"/>
      <c r="BD32" s="51"/>
      <c r="BE32" s="51"/>
      <c r="BF32" s="51"/>
      <c r="BG32" s="51"/>
      <c r="BH32" s="51"/>
      <c r="BI32" s="51"/>
      <c r="BJ32" s="51"/>
      <c r="BK32" s="51"/>
      <c r="BL32" s="51"/>
      <c r="BM32" s="51"/>
      <c r="BN32" s="52"/>
      <c r="BO32" s="51"/>
      <c r="BP32" s="52"/>
      <c r="BQ32" s="51"/>
      <c r="BR32" s="52"/>
      <c r="BS32" s="51"/>
      <c r="BT32" s="52"/>
      <c r="BU32" s="51"/>
      <c r="BV32" s="2"/>
      <c r="BW32" s="3"/>
      <c r="BX32" s="3"/>
      <c r="BY32" s="3"/>
      <c r="BZ32" s="3"/>
    </row>
    <row r="33" spans="1:78" ht="41.45" customHeight="1">
      <c r="A33" s="14" t="s">
        <v>267</v>
      </c>
      <c r="C33" s="15"/>
      <c r="D33" s="15" t="s">
        <v>64</v>
      </c>
      <c r="E33" s="92">
        <v>198.8563223106589</v>
      </c>
      <c r="F33" s="79"/>
      <c r="G33" s="111" t="str">
        <f>HYPERLINK("https://pbs.twimg.com/profile_images/1198213300120539137/cc3okO_1_normal.jpg")</f>
        <v>https://pbs.twimg.com/profile_images/1198213300120539137/cc3okO_1_normal.jpg</v>
      </c>
      <c r="H33" s="15"/>
      <c r="I33" s="16" t="s">
        <v>267</v>
      </c>
      <c r="J33" s="67"/>
      <c r="K33" s="67"/>
      <c r="L33" s="113" t="s">
        <v>515</v>
      </c>
      <c r="M33" s="93">
        <v>159.70781259254872</v>
      </c>
      <c r="N33" s="94">
        <v>3705.158447265625</v>
      </c>
      <c r="O33" s="94">
        <v>951.4757080078125</v>
      </c>
      <c r="P33" s="78"/>
      <c r="Q33" s="95"/>
      <c r="R33" s="95"/>
      <c r="S33" s="96"/>
      <c r="T33" s="51">
        <v>2</v>
      </c>
      <c r="U33" s="51">
        <v>0</v>
      </c>
      <c r="V33" s="52">
        <v>0</v>
      </c>
      <c r="W33" s="52">
        <v>0.02</v>
      </c>
      <c r="X33" s="52">
        <v>0.030685</v>
      </c>
      <c r="Y33" s="52">
        <v>0.568247</v>
      </c>
      <c r="Z33" s="52">
        <v>1</v>
      </c>
      <c r="AA33" s="52">
        <v>0</v>
      </c>
      <c r="AB33" s="80">
        <v>33</v>
      </c>
      <c r="AC33" s="80"/>
      <c r="AD33" s="97"/>
      <c r="AE33" s="82" t="s">
        <v>376</v>
      </c>
      <c r="AF33" s="91" t="s">
        <v>413</v>
      </c>
      <c r="AG33" s="82">
        <v>596</v>
      </c>
      <c r="AH33" s="82">
        <v>603</v>
      </c>
      <c r="AI33" s="82">
        <v>10994</v>
      </c>
      <c r="AJ33" s="82">
        <v>9126</v>
      </c>
      <c r="AK33" s="82"/>
      <c r="AL33" s="82" t="s">
        <v>447</v>
      </c>
      <c r="AM33" s="82" t="s">
        <v>471</v>
      </c>
      <c r="AN33" s="82"/>
      <c r="AO33" s="82"/>
      <c r="AP33" s="84">
        <v>43792.5078125</v>
      </c>
      <c r="AQ33" s="82"/>
      <c r="AR33" s="82" t="b">
        <v>1</v>
      </c>
      <c r="AS33" s="82" t="b">
        <v>0</v>
      </c>
      <c r="AT33" s="82" t="b">
        <v>0</v>
      </c>
      <c r="AU33" s="82"/>
      <c r="AV33" s="82">
        <v>1</v>
      </c>
      <c r="AW33" s="82"/>
      <c r="AX33" s="82" t="b">
        <v>0</v>
      </c>
      <c r="AY33" s="82" t="s">
        <v>485</v>
      </c>
      <c r="AZ33" s="88" t="str">
        <f>HYPERLINK("https://twitter.com/bullettuupandi")</f>
        <v>https://twitter.com/bullettuupandi</v>
      </c>
      <c r="BA33" s="82" t="s">
        <v>65</v>
      </c>
      <c r="BB33" s="82" t="str">
        <f>REPLACE(INDEX(GroupVertices[Group],MATCH(Vertices[[#This Row],[Vertex]],GroupVertices[Vertex],0)),1,1,"")</f>
        <v>1</v>
      </c>
      <c r="BC33" s="51"/>
      <c r="BD33" s="51"/>
      <c r="BE33" s="51"/>
      <c r="BF33" s="51"/>
      <c r="BG33" s="51"/>
      <c r="BH33" s="51"/>
      <c r="BI33" s="51"/>
      <c r="BJ33" s="51"/>
      <c r="BK33" s="51"/>
      <c r="BL33" s="51"/>
      <c r="BM33" s="51"/>
      <c r="BN33" s="52"/>
      <c r="BO33" s="51"/>
      <c r="BP33" s="52"/>
      <c r="BQ33" s="51"/>
      <c r="BR33" s="52"/>
      <c r="BS33" s="51"/>
      <c r="BT33" s="52"/>
      <c r="BU33" s="51"/>
      <c r="BV33" s="2"/>
      <c r="BW33" s="3"/>
      <c r="BX33" s="3"/>
      <c r="BY33" s="3"/>
      <c r="BZ33" s="3"/>
    </row>
    <row r="34" spans="1:78" ht="41.45" customHeight="1">
      <c r="A34" s="14" t="s">
        <v>268</v>
      </c>
      <c r="C34" s="15"/>
      <c r="D34" s="15" t="s">
        <v>64</v>
      </c>
      <c r="E34" s="92">
        <v>173.27693443833593</v>
      </c>
      <c r="F34" s="79"/>
      <c r="G34" s="111" t="str">
        <f>HYPERLINK("https://pbs.twimg.com/profile_images/1077901899867672581/skieZJ7w_normal.jpg")</f>
        <v>https://pbs.twimg.com/profile_images/1077901899867672581/skieZJ7w_normal.jpg</v>
      </c>
      <c r="H34" s="15"/>
      <c r="I34" s="16" t="s">
        <v>268</v>
      </c>
      <c r="J34" s="67"/>
      <c r="K34" s="67"/>
      <c r="L34" s="113" t="s">
        <v>516</v>
      </c>
      <c r="M34" s="93">
        <v>49.559853106675355</v>
      </c>
      <c r="N34" s="94">
        <v>745.2481079101562</v>
      </c>
      <c r="O34" s="94">
        <v>2963.6474609375</v>
      </c>
      <c r="P34" s="78"/>
      <c r="Q34" s="95"/>
      <c r="R34" s="95"/>
      <c r="S34" s="96"/>
      <c r="T34" s="51">
        <v>2</v>
      </c>
      <c r="U34" s="51">
        <v>0</v>
      </c>
      <c r="V34" s="52">
        <v>0</v>
      </c>
      <c r="W34" s="52">
        <v>0.02</v>
      </c>
      <c r="X34" s="52">
        <v>0.030685</v>
      </c>
      <c r="Y34" s="52">
        <v>0.568247</v>
      </c>
      <c r="Z34" s="52">
        <v>1</v>
      </c>
      <c r="AA34" s="52">
        <v>0</v>
      </c>
      <c r="AB34" s="80">
        <v>34</v>
      </c>
      <c r="AC34" s="80"/>
      <c r="AD34" s="97"/>
      <c r="AE34" s="82" t="s">
        <v>377</v>
      </c>
      <c r="AF34" s="91" t="s">
        <v>314</v>
      </c>
      <c r="AG34" s="82">
        <v>237</v>
      </c>
      <c r="AH34" s="82">
        <v>231</v>
      </c>
      <c r="AI34" s="82">
        <v>3302</v>
      </c>
      <c r="AJ34" s="82">
        <v>8226</v>
      </c>
      <c r="AK34" s="82"/>
      <c r="AL34" s="82" t="s">
        <v>448</v>
      </c>
      <c r="AM34" s="82" t="s">
        <v>479</v>
      </c>
      <c r="AN34" s="88" t="str">
        <f>HYPERLINK("http://t.co/8CXTQTpC9o")</f>
        <v>http://t.co/8CXTQTpC9o</v>
      </c>
      <c r="AO34" s="82"/>
      <c r="AP34" s="84">
        <v>39646.48179398148</v>
      </c>
      <c r="AQ34" s="82"/>
      <c r="AR34" s="82" t="b">
        <v>0</v>
      </c>
      <c r="AS34" s="82" t="b">
        <v>0</v>
      </c>
      <c r="AT34" s="82" t="b">
        <v>0</v>
      </c>
      <c r="AU34" s="82"/>
      <c r="AV34" s="82">
        <v>3</v>
      </c>
      <c r="AW34" s="88" t="str">
        <f>HYPERLINK("https://abs.twimg.com/images/themes/theme1/bg.png")</f>
        <v>https://abs.twimg.com/images/themes/theme1/bg.png</v>
      </c>
      <c r="AX34" s="82" t="b">
        <v>0</v>
      </c>
      <c r="AY34" s="82" t="s">
        <v>485</v>
      </c>
      <c r="AZ34" s="88" t="str">
        <f>HYPERLINK("https://twitter.com/rprabhu")</f>
        <v>https://twitter.com/rprabhu</v>
      </c>
      <c r="BA34" s="82" t="s">
        <v>65</v>
      </c>
      <c r="BB34" s="82" t="str">
        <f>REPLACE(INDEX(GroupVertices[Group],MATCH(Vertices[[#This Row],[Vertex]],GroupVertices[Vertex],0)),1,1,"")</f>
        <v>1</v>
      </c>
      <c r="BC34" s="51"/>
      <c r="BD34" s="51"/>
      <c r="BE34" s="51"/>
      <c r="BF34" s="51"/>
      <c r="BG34" s="51"/>
      <c r="BH34" s="51"/>
      <c r="BI34" s="51"/>
      <c r="BJ34" s="51"/>
      <c r="BK34" s="51"/>
      <c r="BL34" s="51"/>
      <c r="BM34" s="51"/>
      <c r="BN34" s="52"/>
      <c r="BO34" s="51"/>
      <c r="BP34" s="52"/>
      <c r="BQ34" s="51"/>
      <c r="BR34" s="52"/>
      <c r="BS34" s="51"/>
      <c r="BT34" s="52"/>
      <c r="BU34" s="51"/>
      <c r="BV34" s="2"/>
      <c r="BW34" s="3"/>
      <c r="BX34" s="3"/>
      <c r="BY34" s="3"/>
      <c r="BZ34" s="3"/>
    </row>
    <row r="35" spans="1:78" ht="41.45" customHeight="1">
      <c r="A35" s="14" t="s">
        <v>239</v>
      </c>
      <c r="C35" s="15"/>
      <c r="D35" s="15" t="s">
        <v>64</v>
      </c>
      <c r="E35" s="92">
        <v>169.1512267169935</v>
      </c>
      <c r="F35" s="79"/>
      <c r="G35" s="111" t="str">
        <f>HYPERLINK("https://pbs.twimg.com/profile_images/973676208796860416/LXmaaDQY_normal.jpg")</f>
        <v>https://pbs.twimg.com/profile_images/973676208796860416/LXmaaDQY_normal.jpg</v>
      </c>
      <c r="H35" s="15"/>
      <c r="I35" s="16" t="s">
        <v>239</v>
      </c>
      <c r="J35" s="67"/>
      <c r="K35" s="67"/>
      <c r="L35" s="113" t="s">
        <v>517</v>
      </c>
      <c r="M35" s="93">
        <v>31.794053189599005</v>
      </c>
      <c r="N35" s="94">
        <v>9008.345703125</v>
      </c>
      <c r="O35" s="94">
        <v>8572.44140625</v>
      </c>
      <c r="P35" s="78"/>
      <c r="Q35" s="95"/>
      <c r="R35" s="95"/>
      <c r="S35" s="96"/>
      <c r="T35" s="51">
        <v>1</v>
      </c>
      <c r="U35" s="51">
        <v>1</v>
      </c>
      <c r="V35" s="52">
        <v>0</v>
      </c>
      <c r="W35" s="52">
        <v>0</v>
      </c>
      <c r="X35" s="52">
        <v>0</v>
      </c>
      <c r="Y35" s="52">
        <v>0.999987</v>
      </c>
      <c r="Z35" s="52">
        <v>0</v>
      </c>
      <c r="AA35" s="52">
        <v>0</v>
      </c>
      <c r="AB35" s="80">
        <v>35</v>
      </c>
      <c r="AC35" s="80"/>
      <c r="AD35" s="97"/>
      <c r="AE35" s="82" t="s">
        <v>378</v>
      </c>
      <c r="AF35" s="91" t="s">
        <v>414</v>
      </c>
      <c r="AG35" s="82">
        <v>125</v>
      </c>
      <c r="AH35" s="82">
        <v>171</v>
      </c>
      <c r="AI35" s="82">
        <v>17859</v>
      </c>
      <c r="AJ35" s="82">
        <v>277</v>
      </c>
      <c r="AK35" s="82"/>
      <c r="AL35" s="82" t="s">
        <v>449</v>
      </c>
      <c r="AM35" s="82" t="s">
        <v>480</v>
      </c>
      <c r="AN35" s="88" t="str">
        <f>HYPERLINK("https://t.co/NopTc48OdU")</f>
        <v>https://t.co/NopTc48OdU</v>
      </c>
      <c r="AO35" s="82"/>
      <c r="AP35" s="84">
        <v>43172.826898148145</v>
      </c>
      <c r="AQ35" s="88" t="str">
        <f>HYPERLINK("https://pbs.twimg.com/profile_banners/973647568398962688/1520976765")</f>
        <v>https://pbs.twimg.com/profile_banners/973647568398962688/1520976765</v>
      </c>
      <c r="AR35" s="82" t="b">
        <v>0</v>
      </c>
      <c r="AS35" s="82" t="b">
        <v>0</v>
      </c>
      <c r="AT35" s="82" t="b">
        <v>0</v>
      </c>
      <c r="AU35" s="82"/>
      <c r="AV35" s="82">
        <v>6</v>
      </c>
      <c r="AW35" s="88" t="str">
        <f>HYPERLINK("https://abs.twimg.com/images/themes/theme1/bg.png")</f>
        <v>https://abs.twimg.com/images/themes/theme1/bg.png</v>
      </c>
      <c r="AX35" s="82" t="b">
        <v>0</v>
      </c>
      <c r="AY35" s="82" t="s">
        <v>485</v>
      </c>
      <c r="AZ35" s="88" t="str">
        <f>HYPERLINK("https://twitter.com/deitygalaxy")</f>
        <v>https://twitter.com/deitygalaxy</v>
      </c>
      <c r="BA35" s="82" t="s">
        <v>66</v>
      </c>
      <c r="BB35" s="82" t="str">
        <f>REPLACE(INDEX(GroupVertices[Group],MATCH(Vertices[[#This Row],[Vertex]],GroupVertices[Vertex],0)),1,1,"")</f>
        <v>2</v>
      </c>
      <c r="BC35" s="51"/>
      <c r="BD35" s="51"/>
      <c r="BE35" s="51"/>
      <c r="BF35" s="51"/>
      <c r="BG35" s="51" t="s">
        <v>286</v>
      </c>
      <c r="BH35" s="51" t="s">
        <v>286</v>
      </c>
      <c r="BI35" s="119" t="s">
        <v>661</v>
      </c>
      <c r="BJ35" s="119" t="s">
        <v>661</v>
      </c>
      <c r="BK35" s="119" t="s">
        <v>670</v>
      </c>
      <c r="BL35" s="119" t="s">
        <v>670</v>
      </c>
      <c r="BM35" s="119">
        <v>0</v>
      </c>
      <c r="BN35" s="122">
        <v>0</v>
      </c>
      <c r="BO35" s="119">
        <v>1</v>
      </c>
      <c r="BP35" s="122">
        <v>6.25</v>
      </c>
      <c r="BQ35" s="119">
        <v>0</v>
      </c>
      <c r="BR35" s="122">
        <v>0</v>
      </c>
      <c r="BS35" s="119">
        <v>15</v>
      </c>
      <c r="BT35" s="122">
        <v>93.75</v>
      </c>
      <c r="BU35" s="119">
        <v>16</v>
      </c>
      <c r="BV35" s="2"/>
      <c r="BW35" s="3"/>
      <c r="BX35" s="3"/>
      <c r="BY35" s="3"/>
      <c r="BZ35" s="3"/>
    </row>
    <row r="36" spans="1:78" ht="41.45" customHeight="1">
      <c r="A36" s="14" t="s">
        <v>240</v>
      </c>
      <c r="C36" s="15"/>
      <c r="D36" s="15" t="s">
        <v>64</v>
      </c>
      <c r="E36" s="92">
        <v>411.60531714121606</v>
      </c>
      <c r="F36" s="79"/>
      <c r="G36" s="111" t="str">
        <f>HYPERLINK("https://pbs.twimg.com/profile_images/1422192253058043904/KK4USu7N_normal.jpg")</f>
        <v>https://pbs.twimg.com/profile_images/1422192253058043904/KK4USu7N_normal.jpg</v>
      </c>
      <c r="H36" s="15"/>
      <c r="I36" s="16" t="s">
        <v>240</v>
      </c>
      <c r="J36" s="67"/>
      <c r="K36" s="67"/>
      <c r="L36" s="113" t="s">
        <v>518</v>
      </c>
      <c r="M36" s="93">
        <v>1075.8308949831192</v>
      </c>
      <c r="N36" s="94">
        <v>7859.1875</v>
      </c>
      <c r="O36" s="94">
        <v>5296.154296875</v>
      </c>
      <c r="P36" s="78"/>
      <c r="Q36" s="95"/>
      <c r="R36" s="95"/>
      <c r="S36" s="96"/>
      <c r="T36" s="51">
        <v>0</v>
      </c>
      <c r="U36" s="51">
        <v>2</v>
      </c>
      <c r="V36" s="52">
        <v>2</v>
      </c>
      <c r="W36" s="52">
        <v>0.5</v>
      </c>
      <c r="X36" s="52">
        <v>0</v>
      </c>
      <c r="Y36" s="52">
        <v>1.459439</v>
      </c>
      <c r="Z36" s="52">
        <v>0</v>
      </c>
      <c r="AA36" s="52">
        <v>0</v>
      </c>
      <c r="AB36" s="80">
        <v>36</v>
      </c>
      <c r="AC36" s="80"/>
      <c r="AD36" s="97"/>
      <c r="AE36" s="82" t="s">
        <v>379</v>
      </c>
      <c r="AF36" s="91" t="s">
        <v>415</v>
      </c>
      <c r="AG36" s="82">
        <v>5001</v>
      </c>
      <c r="AH36" s="82">
        <v>3697</v>
      </c>
      <c r="AI36" s="82">
        <v>69658</v>
      </c>
      <c r="AJ36" s="82">
        <v>149927</v>
      </c>
      <c r="AK36" s="82"/>
      <c r="AL36" s="82" t="s">
        <v>450</v>
      </c>
      <c r="AM36" s="82" t="s">
        <v>481</v>
      </c>
      <c r="AN36" s="82"/>
      <c r="AO36" s="82"/>
      <c r="AP36" s="84">
        <v>41903.21425925926</v>
      </c>
      <c r="AQ36" s="88" t="str">
        <f>HYPERLINK("https://pbs.twimg.com/profile_banners/2778616972/1633268669")</f>
        <v>https://pbs.twimg.com/profile_banners/2778616972/1633268669</v>
      </c>
      <c r="AR36" s="82" t="b">
        <v>1</v>
      </c>
      <c r="AS36" s="82" t="b">
        <v>0</v>
      </c>
      <c r="AT36" s="82" t="b">
        <v>1</v>
      </c>
      <c r="AU36" s="82"/>
      <c r="AV36" s="82">
        <v>141</v>
      </c>
      <c r="AW36" s="88" t="str">
        <f>HYPERLINK("https://abs.twimg.com/images/themes/theme1/bg.png")</f>
        <v>https://abs.twimg.com/images/themes/theme1/bg.png</v>
      </c>
      <c r="AX36" s="82" t="b">
        <v>0</v>
      </c>
      <c r="AY36" s="82" t="s">
        <v>485</v>
      </c>
      <c r="AZ36" s="88" t="str">
        <f>HYPERLINK("https://twitter.com/hilton_philip")</f>
        <v>https://twitter.com/hilton_philip</v>
      </c>
      <c r="BA36" s="82" t="s">
        <v>66</v>
      </c>
      <c r="BB36" s="82" t="str">
        <f>REPLACE(INDEX(GroupVertices[Group],MATCH(Vertices[[#This Row],[Vertex]],GroupVertices[Vertex],0)),1,1,"")</f>
        <v>3</v>
      </c>
      <c r="BC36" s="51"/>
      <c r="BD36" s="51"/>
      <c r="BE36" s="51"/>
      <c r="BF36" s="51"/>
      <c r="BG36" s="51" t="s">
        <v>287</v>
      </c>
      <c r="BH36" s="51" t="s">
        <v>287</v>
      </c>
      <c r="BI36" s="119" t="s">
        <v>662</v>
      </c>
      <c r="BJ36" s="119" t="s">
        <v>662</v>
      </c>
      <c r="BK36" s="119" t="s">
        <v>671</v>
      </c>
      <c r="BL36" s="119" t="s">
        <v>671</v>
      </c>
      <c r="BM36" s="119">
        <v>2</v>
      </c>
      <c r="BN36" s="122">
        <v>3.6363636363636362</v>
      </c>
      <c r="BO36" s="119">
        <v>2</v>
      </c>
      <c r="BP36" s="122">
        <v>3.6363636363636362</v>
      </c>
      <c r="BQ36" s="119">
        <v>0</v>
      </c>
      <c r="BR36" s="122">
        <v>0</v>
      </c>
      <c r="BS36" s="119">
        <v>51</v>
      </c>
      <c r="BT36" s="122">
        <v>92.72727272727273</v>
      </c>
      <c r="BU36" s="119">
        <v>55</v>
      </c>
      <c r="BV36" s="2"/>
      <c r="BW36" s="3"/>
      <c r="BX36" s="3"/>
      <c r="BY36" s="3"/>
      <c r="BZ36" s="3"/>
    </row>
    <row r="37" spans="1:78" ht="41.45" customHeight="1">
      <c r="A37" s="14" t="s">
        <v>269</v>
      </c>
      <c r="C37" s="15"/>
      <c r="D37" s="15" t="s">
        <v>64</v>
      </c>
      <c r="E37" s="92">
        <v>1000</v>
      </c>
      <c r="F37" s="79"/>
      <c r="G37" s="111" t="str">
        <f>HYPERLINK("https://pbs.twimg.com/profile_images/973861316908773377/SPdq_Fq0_normal.jpg")</f>
        <v>https://pbs.twimg.com/profile_images/973861316908773377/SPdq_Fq0_normal.jpg</v>
      </c>
      <c r="H37" s="15"/>
      <c r="I37" s="16" t="s">
        <v>269</v>
      </c>
      <c r="J37" s="67"/>
      <c r="K37" s="67"/>
      <c r="L37" s="113" t="s">
        <v>519</v>
      </c>
      <c r="M37" s="93">
        <v>9999</v>
      </c>
      <c r="N37" s="94">
        <v>7859.1875</v>
      </c>
      <c r="O37" s="94">
        <v>3027.6201171875</v>
      </c>
      <c r="P37" s="78"/>
      <c r="Q37" s="95"/>
      <c r="R37" s="95"/>
      <c r="S37" s="96"/>
      <c r="T37" s="51">
        <v>1</v>
      </c>
      <c r="U37" s="51">
        <v>0</v>
      </c>
      <c r="V37" s="52">
        <v>0</v>
      </c>
      <c r="W37" s="52">
        <v>0.333333</v>
      </c>
      <c r="X37" s="52">
        <v>0</v>
      </c>
      <c r="Y37" s="52">
        <v>0.770261</v>
      </c>
      <c r="Z37" s="52">
        <v>0</v>
      </c>
      <c r="AA37" s="52">
        <v>0</v>
      </c>
      <c r="AB37" s="80">
        <v>37</v>
      </c>
      <c r="AC37" s="80"/>
      <c r="AD37" s="97"/>
      <c r="AE37" s="82" t="s">
        <v>380</v>
      </c>
      <c r="AF37" s="91" t="s">
        <v>416</v>
      </c>
      <c r="AG37" s="82">
        <v>1000</v>
      </c>
      <c r="AH37" s="82">
        <v>33833</v>
      </c>
      <c r="AI37" s="82">
        <v>5088</v>
      </c>
      <c r="AJ37" s="82">
        <v>2676</v>
      </c>
      <c r="AK37" s="82"/>
      <c r="AL37" s="82" t="s">
        <v>451</v>
      </c>
      <c r="AM37" s="82"/>
      <c r="AN37" s="88" t="str">
        <f>HYPERLINK("https://t.co/dNPAuo35VF")</f>
        <v>https://t.co/dNPAuo35VF</v>
      </c>
      <c r="AO37" s="82"/>
      <c r="AP37" s="84">
        <v>41164.57994212963</v>
      </c>
      <c r="AQ37" s="88" t="str">
        <f>HYPERLINK("https://pbs.twimg.com/profile_banners/819612452/1521025467")</f>
        <v>https://pbs.twimg.com/profile_banners/819612452/1521025467</v>
      </c>
      <c r="AR37" s="82" t="b">
        <v>1</v>
      </c>
      <c r="AS37" s="82" t="b">
        <v>0</v>
      </c>
      <c r="AT37" s="82" t="b">
        <v>0</v>
      </c>
      <c r="AU37" s="82"/>
      <c r="AV37" s="82">
        <v>321</v>
      </c>
      <c r="AW37" s="88" t="str">
        <f>HYPERLINK("https://abs.twimg.com/images/themes/theme1/bg.png")</f>
        <v>https://abs.twimg.com/images/themes/theme1/bg.png</v>
      </c>
      <c r="AX37" s="82" t="b">
        <v>0</v>
      </c>
      <c r="AY37" s="82" t="s">
        <v>485</v>
      </c>
      <c r="AZ37" s="88" t="str">
        <f>HYPERLINK("https://twitter.com/bbcfarmingtoday")</f>
        <v>https://twitter.com/bbcfarmingtoday</v>
      </c>
      <c r="BA37" s="82" t="s">
        <v>65</v>
      </c>
      <c r="BB37" s="82" t="str">
        <f>REPLACE(INDEX(GroupVertices[Group],MATCH(Vertices[[#This Row],[Vertex]],GroupVertices[Vertex],0)),1,1,"")</f>
        <v>3</v>
      </c>
      <c r="BC37" s="51"/>
      <c r="BD37" s="51"/>
      <c r="BE37" s="51"/>
      <c r="BF37" s="51"/>
      <c r="BG37" s="51"/>
      <c r="BH37" s="51"/>
      <c r="BI37" s="51"/>
      <c r="BJ37" s="51"/>
      <c r="BK37" s="51"/>
      <c r="BL37" s="51"/>
      <c r="BM37" s="51"/>
      <c r="BN37" s="52"/>
      <c r="BO37" s="51"/>
      <c r="BP37" s="52"/>
      <c r="BQ37" s="51"/>
      <c r="BR37" s="52"/>
      <c r="BS37" s="51"/>
      <c r="BT37" s="52"/>
      <c r="BU37" s="51"/>
      <c r="BV37" s="2"/>
      <c r="BW37" s="3"/>
      <c r="BX37" s="3"/>
      <c r="BY37" s="3"/>
      <c r="BZ37" s="3"/>
    </row>
    <row r="38" spans="1:78" ht="41.45" customHeight="1">
      <c r="A38" s="14" t="s">
        <v>270</v>
      </c>
      <c r="C38" s="15"/>
      <c r="D38" s="15" t="s">
        <v>64</v>
      </c>
      <c r="E38" s="92">
        <v>1000</v>
      </c>
      <c r="F38" s="79"/>
      <c r="G38" s="111" t="str">
        <f>HYPERLINK("https://pbs.twimg.com/profile_images/600237080493568000/rdvy7KEK_normal.jpg")</f>
        <v>https://pbs.twimg.com/profile_images/600237080493568000/rdvy7KEK_normal.jpg</v>
      </c>
      <c r="H38" s="15"/>
      <c r="I38" s="16" t="s">
        <v>270</v>
      </c>
      <c r="J38" s="67"/>
      <c r="K38" s="67"/>
      <c r="L38" s="113" t="s">
        <v>520</v>
      </c>
      <c r="M38" s="93">
        <v>6749.93129183202</v>
      </c>
      <c r="N38" s="94">
        <v>7859.1875</v>
      </c>
      <c r="O38" s="94">
        <v>4161.88720703125</v>
      </c>
      <c r="P38" s="78"/>
      <c r="Q38" s="95"/>
      <c r="R38" s="95"/>
      <c r="S38" s="96"/>
      <c r="T38" s="51">
        <v>1</v>
      </c>
      <c r="U38" s="51">
        <v>0</v>
      </c>
      <c r="V38" s="52">
        <v>0</v>
      </c>
      <c r="W38" s="52">
        <v>0.333333</v>
      </c>
      <c r="X38" s="52">
        <v>0</v>
      </c>
      <c r="Y38" s="52">
        <v>0.770261</v>
      </c>
      <c r="Z38" s="52">
        <v>0</v>
      </c>
      <c r="AA38" s="52">
        <v>0</v>
      </c>
      <c r="AB38" s="80">
        <v>38</v>
      </c>
      <c r="AC38" s="80"/>
      <c r="AD38" s="97"/>
      <c r="AE38" s="82" t="s">
        <v>381</v>
      </c>
      <c r="AF38" s="91" t="s">
        <v>315</v>
      </c>
      <c r="AG38" s="82">
        <v>3899</v>
      </c>
      <c r="AH38" s="82">
        <v>22860</v>
      </c>
      <c r="AI38" s="82">
        <v>65616</v>
      </c>
      <c r="AJ38" s="82">
        <v>1195</v>
      </c>
      <c r="AK38" s="82"/>
      <c r="AL38" s="82" t="s">
        <v>452</v>
      </c>
      <c r="AM38" s="82" t="s">
        <v>482</v>
      </c>
      <c r="AN38" s="88" t="str">
        <f>HYPERLINK("https://t.co/Oi3KjWudV2")</f>
        <v>https://t.co/Oi3KjWudV2</v>
      </c>
      <c r="AO38" s="82"/>
      <c r="AP38" s="84">
        <v>40584.50271990741</v>
      </c>
      <c r="AQ38" s="88" t="str">
        <f>HYPERLINK("https://pbs.twimg.com/profile_banners/250091875/1453808478")</f>
        <v>https://pbs.twimg.com/profile_banners/250091875/1453808478</v>
      </c>
      <c r="AR38" s="82" t="b">
        <v>0</v>
      </c>
      <c r="AS38" s="82" t="b">
        <v>0</v>
      </c>
      <c r="AT38" s="82" t="b">
        <v>1</v>
      </c>
      <c r="AU38" s="82"/>
      <c r="AV38" s="82">
        <v>687</v>
      </c>
      <c r="AW38" s="88" t="str">
        <f>HYPERLINK("https://abs.twimg.com/images/themes/theme18/bg.gif")</f>
        <v>https://abs.twimg.com/images/themes/theme18/bg.gif</v>
      </c>
      <c r="AX38" s="82" t="b">
        <v>1</v>
      </c>
      <c r="AY38" s="82" t="s">
        <v>485</v>
      </c>
      <c r="AZ38" s="88" t="str">
        <f>HYPERLINK("https://twitter.com/barrysheerman")</f>
        <v>https://twitter.com/barrysheerman</v>
      </c>
      <c r="BA38" s="82" t="s">
        <v>65</v>
      </c>
      <c r="BB38" s="82" t="str">
        <f>REPLACE(INDEX(GroupVertices[Group],MATCH(Vertices[[#This Row],[Vertex]],GroupVertices[Vertex],0)),1,1,"")</f>
        <v>3</v>
      </c>
      <c r="BC38" s="51"/>
      <c r="BD38" s="51"/>
      <c r="BE38" s="51"/>
      <c r="BF38" s="51"/>
      <c r="BG38" s="51"/>
      <c r="BH38" s="51"/>
      <c r="BI38" s="51"/>
      <c r="BJ38" s="51"/>
      <c r="BK38" s="51"/>
      <c r="BL38" s="51"/>
      <c r="BM38" s="51"/>
      <c r="BN38" s="52"/>
      <c r="BO38" s="51"/>
      <c r="BP38" s="52"/>
      <c r="BQ38" s="51"/>
      <c r="BR38" s="52"/>
      <c r="BS38" s="51"/>
      <c r="BT38" s="52"/>
      <c r="BU38" s="51"/>
      <c r="BV38" s="2"/>
      <c r="BW38" s="3"/>
      <c r="BX38" s="3"/>
      <c r="BY38" s="3"/>
      <c r="BZ38" s="3"/>
    </row>
    <row r="39" spans="1:78" ht="41.45" customHeight="1">
      <c r="A39" s="14" t="s">
        <v>241</v>
      </c>
      <c r="C39" s="15"/>
      <c r="D39" s="15" t="s">
        <v>64</v>
      </c>
      <c r="E39" s="92">
        <v>210.54582752112907</v>
      </c>
      <c r="F39" s="79"/>
      <c r="G39" s="111" t="str">
        <f>HYPERLINK("https://pbs.twimg.com/profile_images/1428396752495861765/dWSH_W-8_normal.jpg")</f>
        <v>https://pbs.twimg.com/profile_images/1428396752495861765/dWSH_W-8_normal.jpg</v>
      </c>
      <c r="H39" s="15"/>
      <c r="I39" s="16" t="s">
        <v>241</v>
      </c>
      <c r="J39" s="67"/>
      <c r="K39" s="67"/>
      <c r="L39" s="113" t="s">
        <v>521</v>
      </c>
      <c r="M39" s="93">
        <v>210.04424569093172</v>
      </c>
      <c r="N39" s="94">
        <v>7621.4306640625</v>
      </c>
      <c r="O39" s="94">
        <v>1230.243408203125</v>
      </c>
      <c r="P39" s="78"/>
      <c r="Q39" s="95"/>
      <c r="R39" s="95"/>
      <c r="S39" s="96"/>
      <c r="T39" s="51">
        <v>0</v>
      </c>
      <c r="U39" s="51">
        <v>1</v>
      </c>
      <c r="V39" s="52">
        <v>0</v>
      </c>
      <c r="W39" s="52">
        <v>1</v>
      </c>
      <c r="X39" s="52">
        <v>0</v>
      </c>
      <c r="Y39" s="52">
        <v>0.999987</v>
      </c>
      <c r="Z39" s="52">
        <v>0</v>
      </c>
      <c r="AA39" s="52">
        <v>0</v>
      </c>
      <c r="AB39" s="80">
        <v>39</v>
      </c>
      <c r="AC39" s="80"/>
      <c r="AD39" s="97"/>
      <c r="AE39" s="82" t="s">
        <v>382</v>
      </c>
      <c r="AF39" s="91" t="s">
        <v>417</v>
      </c>
      <c r="AG39" s="82">
        <v>415</v>
      </c>
      <c r="AH39" s="82">
        <v>773</v>
      </c>
      <c r="AI39" s="82">
        <v>338</v>
      </c>
      <c r="AJ39" s="82">
        <v>1181</v>
      </c>
      <c r="AK39" s="82"/>
      <c r="AL39" s="82" t="s">
        <v>453</v>
      </c>
      <c r="AM39" s="82" t="s">
        <v>483</v>
      </c>
      <c r="AN39" s="82"/>
      <c r="AO39" s="82"/>
      <c r="AP39" s="84">
        <v>42761.76819444444</v>
      </c>
      <c r="AQ39" s="88" t="str">
        <f>HYPERLINK("https://pbs.twimg.com/profile_banners/824684879598223362/1627897973")</f>
        <v>https://pbs.twimg.com/profile_banners/824684879598223362/1627897973</v>
      </c>
      <c r="AR39" s="82" t="b">
        <v>0</v>
      </c>
      <c r="AS39" s="82" t="b">
        <v>0</v>
      </c>
      <c r="AT39" s="82" t="b">
        <v>0</v>
      </c>
      <c r="AU39" s="82"/>
      <c r="AV39" s="82">
        <v>0</v>
      </c>
      <c r="AW39" s="88" t="str">
        <f>HYPERLINK("https://abs.twimg.com/images/themes/theme1/bg.png")</f>
        <v>https://abs.twimg.com/images/themes/theme1/bg.png</v>
      </c>
      <c r="AX39" s="82" t="b">
        <v>0</v>
      </c>
      <c r="AY39" s="82" t="s">
        <v>485</v>
      </c>
      <c r="AZ39" s="88" t="str">
        <f>HYPERLINK("https://twitter.com/ajumzu")</f>
        <v>https://twitter.com/ajumzu</v>
      </c>
      <c r="BA39" s="82" t="s">
        <v>66</v>
      </c>
      <c r="BB39" s="82" t="str">
        <f>REPLACE(INDEX(GroupVertices[Group],MATCH(Vertices[[#This Row],[Vertex]],GroupVertices[Vertex],0)),1,1,"")</f>
        <v>4</v>
      </c>
      <c r="BC39" s="51"/>
      <c r="BD39" s="51"/>
      <c r="BE39" s="51"/>
      <c r="BF39" s="51"/>
      <c r="BG39" s="51"/>
      <c r="BH39" s="51"/>
      <c r="BI39" s="119" t="s">
        <v>663</v>
      </c>
      <c r="BJ39" s="119" t="s">
        <v>663</v>
      </c>
      <c r="BK39" s="119" t="s">
        <v>672</v>
      </c>
      <c r="BL39" s="119" t="s">
        <v>672</v>
      </c>
      <c r="BM39" s="119">
        <v>0</v>
      </c>
      <c r="BN39" s="122">
        <v>0</v>
      </c>
      <c r="BO39" s="119">
        <v>1</v>
      </c>
      <c r="BP39" s="122">
        <v>2.9411764705882355</v>
      </c>
      <c r="BQ39" s="119">
        <v>0</v>
      </c>
      <c r="BR39" s="122">
        <v>0</v>
      </c>
      <c r="BS39" s="119">
        <v>33</v>
      </c>
      <c r="BT39" s="122">
        <v>97.05882352941177</v>
      </c>
      <c r="BU39" s="119">
        <v>34</v>
      </c>
      <c r="BV39" s="2"/>
      <c r="BW39" s="3"/>
      <c r="BX39" s="3"/>
      <c r="BY39" s="3"/>
      <c r="BZ39" s="3"/>
    </row>
    <row r="40" spans="1:78" ht="41.45" customHeight="1">
      <c r="A40" s="98" t="s">
        <v>271</v>
      </c>
      <c r="C40" s="99"/>
      <c r="D40" s="99" t="s">
        <v>64</v>
      </c>
      <c r="E40" s="100">
        <v>484.7678673996882</v>
      </c>
      <c r="F40" s="101"/>
      <c r="G40" s="112" t="str">
        <f>HYPERLINK("https://pbs.twimg.com/profile_images/1324061584784822274/P9omWzJX_normal.jpg")</f>
        <v>https://pbs.twimg.com/profile_images/1324061584784822274/P9omWzJX_normal.jpg</v>
      </c>
      <c r="H40" s="99"/>
      <c r="I40" s="102" t="s">
        <v>271</v>
      </c>
      <c r="J40" s="103"/>
      <c r="K40" s="103"/>
      <c r="L40" s="114" t="s">
        <v>522</v>
      </c>
      <c r="M40" s="104">
        <v>1390.8777468459398</v>
      </c>
      <c r="N40" s="105">
        <v>8413.9541015625</v>
      </c>
      <c r="O40" s="105">
        <v>1270.81494140625</v>
      </c>
      <c r="P40" s="106"/>
      <c r="Q40" s="107"/>
      <c r="R40" s="107"/>
      <c r="S40" s="108"/>
      <c r="T40" s="51">
        <v>1</v>
      </c>
      <c r="U40" s="51">
        <v>0</v>
      </c>
      <c r="V40" s="52">
        <v>0</v>
      </c>
      <c r="W40" s="52">
        <v>1</v>
      </c>
      <c r="X40" s="52">
        <v>0</v>
      </c>
      <c r="Y40" s="52">
        <v>0.999987</v>
      </c>
      <c r="Z40" s="52">
        <v>0</v>
      </c>
      <c r="AA40" s="52">
        <v>0</v>
      </c>
      <c r="AB40" s="109">
        <v>40</v>
      </c>
      <c r="AC40" s="109"/>
      <c r="AD40" s="110"/>
      <c r="AE40" s="82" t="s">
        <v>383</v>
      </c>
      <c r="AF40" s="91" t="s">
        <v>316</v>
      </c>
      <c r="AG40" s="82">
        <v>105</v>
      </c>
      <c r="AH40" s="82">
        <v>4761</v>
      </c>
      <c r="AI40" s="82">
        <v>6094</v>
      </c>
      <c r="AJ40" s="82">
        <v>1310</v>
      </c>
      <c r="AK40" s="82"/>
      <c r="AL40" s="82" t="s">
        <v>454</v>
      </c>
      <c r="AM40" s="82" t="s">
        <v>484</v>
      </c>
      <c r="AN40" s="88" t="str">
        <f>HYPERLINK("https://t.co/a0vZXXf2UQ")</f>
        <v>https://t.co/a0vZXXf2UQ</v>
      </c>
      <c r="AO40" s="82"/>
      <c r="AP40" s="84">
        <v>39055.825324074074</v>
      </c>
      <c r="AQ40" s="88" t="str">
        <f>HYPERLINK("https://pbs.twimg.com/profile_banners/41143/1493930682")</f>
        <v>https://pbs.twimg.com/profile_banners/41143/1493930682</v>
      </c>
      <c r="AR40" s="82" t="b">
        <v>0</v>
      </c>
      <c r="AS40" s="82" t="b">
        <v>0</v>
      </c>
      <c r="AT40" s="82" t="b">
        <v>1</v>
      </c>
      <c r="AU40" s="82"/>
      <c r="AV40" s="82">
        <v>247</v>
      </c>
      <c r="AW40" s="88" t="str">
        <f>HYPERLINK("https://abs.twimg.com/images/themes/theme1/bg.png")</f>
        <v>https://abs.twimg.com/images/themes/theme1/bg.png</v>
      </c>
      <c r="AX40" s="82" t="b">
        <v>1</v>
      </c>
      <c r="AY40" s="82" t="s">
        <v>485</v>
      </c>
      <c r="AZ40" s="88" t="str">
        <f>HYPERLINK("https://twitter.com/yaronsamid")</f>
        <v>https://twitter.com/yaronsamid</v>
      </c>
      <c r="BA40" s="82" t="s">
        <v>65</v>
      </c>
      <c r="BB40" s="82" t="str">
        <f>REPLACE(INDEX(GroupVertices[Group],MATCH(Vertices[[#This Row],[Vertex]],GroupVertices[Vertex],0)),1,1,"")</f>
        <v>4</v>
      </c>
      <c r="BC40" s="51"/>
      <c r="BD40" s="51"/>
      <c r="BE40" s="51"/>
      <c r="BF40" s="51"/>
      <c r="BG40" s="51"/>
      <c r="BH40" s="51"/>
      <c r="BI40" s="51"/>
      <c r="BJ40" s="51"/>
      <c r="BK40" s="51"/>
      <c r="BL40" s="51"/>
      <c r="BM40" s="51"/>
      <c r="BN40" s="52"/>
      <c r="BO40" s="51"/>
      <c r="BP40" s="52"/>
      <c r="BQ40" s="51"/>
      <c r="BR40" s="52"/>
      <c r="BS40" s="51"/>
      <c r="BT40" s="52"/>
      <c r="BU40" s="51"/>
      <c r="BV40" s="2"/>
      <c r="BW40" s="3"/>
      <c r="BX40" s="3"/>
      <c r="BY40" s="3"/>
      <c r="BZ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9.7109375" style="0" bestFit="1" customWidth="1"/>
    <col min="38" max="38" width="24.281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555</v>
      </c>
      <c r="Z2" s="13" t="s">
        <v>563</v>
      </c>
      <c r="AA2" s="13" t="s">
        <v>580</v>
      </c>
      <c r="AB2" s="13" t="s">
        <v>599</v>
      </c>
      <c r="AC2" s="13" t="s">
        <v>620</v>
      </c>
      <c r="AD2" s="13" t="s">
        <v>634</v>
      </c>
      <c r="AE2" s="13" t="s">
        <v>635</v>
      </c>
      <c r="AF2" s="13" t="s">
        <v>643</v>
      </c>
      <c r="AG2" s="68" t="s">
        <v>736</v>
      </c>
      <c r="AH2" s="68" t="s">
        <v>737</v>
      </c>
      <c r="AI2" s="68" t="s">
        <v>738</v>
      </c>
      <c r="AJ2" s="68" t="s">
        <v>739</v>
      </c>
      <c r="AK2" s="68" t="s">
        <v>740</v>
      </c>
      <c r="AL2" s="68" t="s">
        <v>741</v>
      </c>
      <c r="AM2" s="68" t="s">
        <v>742</v>
      </c>
      <c r="AN2" s="68" t="s">
        <v>743</v>
      </c>
      <c r="AO2" s="68" t="s">
        <v>746</v>
      </c>
    </row>
    <row r="3" spans="1:41" ht="15">
      <c r="A3" s="81" t="s">
        <v>527</v>
      </c>
      <c r="B3" s="116" t="s">
        <v>532</v>
      </c>
      <c r="C3" s="116" t="s">
        <v>56</v>
      </c>
      <c r="D3" s="15"/>
      <c r="E3" s="15"/>
      <c r="F3" s="16" t="s">
        <v>787</v>
      </c>
      <c r="G3" s="78"/>
      <c r="H3" s="78"/>
      <c r="I3" s="80">
        <v>3</v>
      </c>
      <c r="J3" s="64"/>
      <c r="K3" s="51">
        <v>27</v>
      </c>
      <c r="L3" s="51">
        <v>52</v>
      </c>
      <c r="M3" s="51">
        <v>0</v>
      </c>
      <c r="N3" s="51">
        <v>52</v>
      </c>
      <c r="O3" s="51">
        <v>0</v>
      </c>
      <c r="P3" s="52">
        <v>0.0196078431372549</v>
      </c>
      <c r="Q3" s="52">
        <v>0.038461538461538464</v>
      </c>
      <c r="R3" s="51">
        <v>1</v>
      </c>
      <c r="S3" s="51">
        <v>0</v>
      </c>
      <c r="T3" s="51">
        <v>27</v>
      </c>
      <c r="U3" s="51">
        <v>52</v>
      </c>
      <c r="V3" s="51">
        <v>2</v>
      </c>
      <c r="W3" s="52">
        <v>1.786008</v>
      </c>
      <c r="X3" s="52">
        <v>0.07407407407407407</v>
      </c>
      <c r="Y3" s="82"/>
      <c r="Z3" s="82"/>
      <c r="AA3" s="82"/>
      <c r="AB3" s="91" t="s">
        <v>600</v>
      </c>
      <c r="AC3" s="91" t="s">
        <v>621</v>
      </c>
      <c r="AD3" s="91" t="s">
        <v>268</v>
      </c>
      <c r="AE3" s="91" t="s">
        <v>636</v>
      </c>
      <c r="AF3" s="91" t="s">
        <v>644</v>
      </c>
      <c r="AG3" s="119">
        <v>0</v>
      </c>
      <c r="AH3" s="122">
        <v>0</v>
      </c>
      <c r="AI3" s="119">
        <v>2</v>
      </c>
      <c r="AJ3" s="122">
        <v>1.2195121951219512</v>
      </c>
      <c r="AK3" s="119">
        <v>0</v>
      </c>
      <c r="AL3" s="122">
        <v>0</v>
      </c>
      <c r="AM3" s="119">
        <v>162</v>
      </c>
      <c r="AN3" s="122">
        <v>98.78048780487805</v>
      </c>
      <c r="AO3" s="119">
        <v>164</v>
      </c>
    </row>
    <row r="4" spans="1:41" ht="15">
      <c r="A4" s="81" t="s">
        <v>528</v>
      </c>
      <c r="B4" s="116" t="s">
        <v>533</v>
      </c>
      <c r="C4" s="116" t="s">
        <v>56</v>
      </c>
      <c r="D4" s="15"/>
      <c r="E4" s="15"/>
      <c r="F4" s="16" t="s">
        <v>788</v>
      </c>
      <c r="G4" s="78"/>
      <c r="H4" s="78"/>
      <c r="I4" s="80">
        <v>4</v>
      </c>
      <c r="J4" s="80"/>
      <c r="K4" s="51">
        <v>4</v>
      </c>
      <c r="L4" s="51">
        <v>3</v>
      </c>
      <c r="M4" s="51">
        <v>2</v>
      </c>
      <c r="N4" s="51">
        <v>5</v>
      </c>
      <c r="O4" s="51">
        <v>5</v>
      </c>
      <c r="P4" s="52" t="s">
        <v>540</v>
      </c>
      <c r="Q4" s="52" t="s">
        <v>540</v>
      </c>
      <c r="R4" s="51">
        <v>4</v>
      </c>
      <c r="S4" s="51">
        <v>4</v>
      </c>
      <c r="T4" s="51">
        <v>1</v>
      </c>
      <c r="U4" s="51">
        <v>2</v>
      </c>
      <c r="V4" s="51">
        <v>0</v>
      </c>
      <c r="W4" s="52">
        <v>0</v>
      </c>
      <c r="X4" s="52">
        <v>0</v>
      </c>
      <c r="Y4" s="82" t="s">
        <v>556</v>
      </c>
      <c r="Z4" s="82" t="s">
        <v>285</v>
      </c>
      <c r="AA4" s="82" t="s">
        <v>286</v>
      </c>
      <c r="AB4" s="91" t="s">
        <v>601</v>
      </c>
      <c r="AC4" s="91" t="s">
        <v>604</v>
      </c>
      <c r="AD4" s="91"/>
      <c r="AE4" s="91"/>
      <c r="AF4" s="91" t="s">
        <v>645</v>
      </c>
      <c r="AG4" s="119">
        <v>3</v>
      </c>
      <c r="AH4" s="122">
        <v>2.158273381294964</v>
      </c>
      <c r="AI4" s="119">
        <v>5</v>
      </c>
      <c r="AJ4" s="122">
        <v>3.597122302158273</v>
      </c>
      <c r="AK4" s="119">
        <v>0</v>
      </c>
      <c r="AL4" s="122">
        <v>0</v>
      </c>
      <c r="AM4" s="119">
        <v>131</v>
      </c>
      <c r="AN4" s="122">
        <v>94.24460431654676</v>
      </c>
      <c r="AO4" s="119">
        <v>139</v>
      </c>
    </row>
    <row r="5" spans="1:41" ht="15">
      <c r="A5" s="81" t="s">
        <v>529</v>
      </c>
      <c r="B5" s="116" t="s">
        <v>534</v>
      </c>
      <c r="C5" s="116" t="s">
        <v>56</v>
      </c>
      <c r="D5" s="15"/>
      <c r="E5" s="15"/>
      <c r="F5" s="16" t="s">
        <v>789</v>
      </c>
      <c r="G5" s="78"/>
      <c r="H5" s="78"/>
      <c r="I5" s="80">
        <v>5</v>
      </c>
      <c r="J5" s="80"/>
      <c r="K5" s="51">
        <v>3</v>
      </c>
      <c r="L5" s="51">
        <v>2</v>
      </c>
      <c r="M5" s="51">
        <v>0</v>
      </c>
      <c r="N5" s="51">
        <v>2</v>
      </c>
      <c r="O5" s="51">
        <v>0</v>
      </c>
      <c r="P5" s="52">
        <v>0</v>
      </c>
      <c r="Q5" s="52">
        <v>0</v>
      </c>
      <c r="R5" s="51">
        <v>1</v>
      </c>
      <c r="S5" s="51">
        <v>0</v>
      </c>
      <c r="T5" s="51">
        <v>3</v>
      </c>
      <c r="U5" s="51">
        <v>2</v>
      </c>
      <c r="V5" s="51">
        <v>2</v>
      </c>
      <c r="W5" s="52">
        <v>0.888889</v>
      </c>
      <c r="X5" s="52">
        <v>0.3333333333333333</v>
      </c>
      <c r="Y5" s="82"/>
      <c r="Z5" s="82"/>
      <c r="AA5" s="82" t="s">
        <v>287</v>
      </c>
      <c r="AB5" s="91" t="s">
        <v>602</v>
      </c>
      <c r="AC5" s="91" t="s">
        <v>312</v>
      </c>
      <c r="AD5" s="91" t="s">
        <v>270</v>
      </c>
      <c r="AE5" s="91" t="s">
        <v>269</v>
      </c>
      <c r="AF5" s="91" t="s">
        <v>646</v>
      </c>
      <c r="AG5" s="119">
        <v>2</v>
      </c>
      <c r="AH5" s="122">
        <v>3.6363636363636362</v>
      </c>
      <c r="AI5" s="119">
        <v>2</v>
      </c>
      <c r="AJ5" s="122">
        <v>3.6363636363636362</v>
      </c>
      <c r="AK5" s="119">
        <v>0</v>
      </c>
      <c r="AL5" s="122">
        <v>0</v>
      </c>
      <c r="AM5" s="119">
        <v>51</v>
      </c>
      <c r="AN5" s="122">
        <v>92.72727272727273</v>
      </c>
      <c r="AO5" s="119">
        <v>55</v>
      </c>
    </row>
    <row r="6" spans="1:41" ht="15">
      <c r="A6" s="81" t="s">
        <v>530</v>
      </c>
      <c r="B6" s="116" t="s">
        <v>535</v>
      </c>
      <c r="C6" s="116" t="s">
        <v>56</v>
      </c>
      <c r="D6" s="15"/>
      <c r="E6" s="15"/>
      <c r="F6" s="16" t="s">
        <v>530</v>
      </c>
      <c r="G6" s="78"/>
      <c r="H6" s="78"/>
      <c r="I6" s="80">
        <v>6</v>
      </c>
      <c r="J6" s="80"/>
      <c r="K6" s="51">
        <v>2</v>
      </c>
      <c r="L6" s="51">
        <v>1</v>
      </c>
      <c r="M6" s="51">
        <v>0</v>
      </c>
      <c r="N6" s="51">
        <v>1</v>
      </c>
      <c r="O6" s="51">
        <v>0</v>
      </c>
      <c r="P6" s="52">
        <v>0</v>
      </c>
      <c r="Q6" s="52">
        <v>0</v>
      </c>
      <c r="R6" s="51">
        <v>1</v>
      </c>
      <c r="S6" s="51">
        <v>0</v>
      </c>
      <c r="T6" s="51">
        <v>2</v>
      </c>
      <c r="U6" s="51">
        <v>1</v>
      </c>
      <c r="V6" s="51">
        <v>1</v>
      </c>
      <c r="W6" s="52">
        <v>0.5</v>
      </c>
      <c r="X6" s="52">
        <v>0.5</v>
      </c>
      <c r="Y6" s="82"/>
      <c r="Z6" s="82"/>
      <c r="AA6" s="82"/>
      <c r="AB6" s="91" t="s">
        <v>312</v>
      </c>
      <c r="AC6" s="91" t="s">
        <v>312</v>
      </c>
      <c r="AD6" s="91" t="s">
        <v>271</v>
      </c>
      <c r="AE6" s="91"/>
      <c r="AF6" s="91" t="s">
        <v>647</v>
      </c>
      <c r="AG6" s="119">
        <v>0</v>
      </c>
      <c r="AH6" s="122">
        <v>0</v>
      </c>
      <c r="AI6" s="119">
        <v>1</v>
      </c>
      <c r="AJ6" s="122">
        <v>2.9411764705882355</v>
      </c>
      <c r="AK6" s="119">
        <v>0</v>
      </c>
      <c r="AL6" s="122">
        <v>0</v>
      </c>
      <c r="AM6" s="119">
        <v>33</v>
      </c>
      <c r="AN6" s="122">
        <v>97.05882352941177</v>
      </c>
      <c r="AO6" s="119">
        <v>34</v>
      </c>
    </row>
    <row r="7" spans="1:41" ht="15">
      <c r="A7" s="81" t="s">
        <v>531</v>
      </c>
      <c r="B7" s="116" t="s">
        <v>536</v>
      </c>
      <c r="C7" s="116" t="s">
        <v>56</v>
      </c>
      <c r="D7" s="15"/>
      <c r="E7" s="15"/>
      <c r="F7" s="16" t="s">
        <v>790</v>
      </c>
      <c r="G7" s="78"/>
      <c r="H7" s="78"/>
      <c r="I7" s="80">
        <v>7</v>
      </c>
      <c r="J7" s="80"/>
      <c r="K7" s="51">
        <v>2</v>
      </c>
      <c r="L7" s="51">
        <v>1</v>
      </c>
      <c r="M7" s="51">
        <v>0</v>
      </c>
      <c r="N7" s="51">
        <v>1</v>
      </c>
      <c r="O7" s="51">
        <v>0</v>
      </c>
      <c r="P7" s="52">
        <v>0</v>
      </c>
      <c r="Q7" s="52">
        <v>0</v>
      </c>
      <c r="R7" s="51">
        <v>1</v>
      </c>
      <c r="S7" s="51">
        <v>0</v>
      </c>
      <c r="T7" s="51">
        <v>2</v>
      </c>
      <c r="U7" s="51">
        <v>1</v>
      </c>
      <c r="V7" s="51">
        <v>1</v>
      </c>
      <c r="W7" s="52">
        <v>0.5</v>
      </c>
      <c r="X7" s="52">
        <v>0.5</v>
      </c>
      <c r="Y7" s="82"/>
      <c r="Z7" s="82"/>
      <c r="AA7" s="82"/>
      <c r="AB7" s="91" t="s">
        <v>598</v>
      </c>
      <c r="AC7" s="91" t="s">
        <v>312</v>
      </c>
      <c r="AD7" s="91" t="s">
        <v>243</v>
      </c>
      <c r="AE7" s="91"/>
      <c r="AF7" s="91" t="s">
        <v>648</v>
      </c>
      <c r="AG7" s="119">
        <v>1</v>
      </c>
      <c r="AH7" s="122">
        <v>5</v>
      </c>
      <c r="AI7" s="119">
        <v>2</v>
      </c>
      <c r="AJ7" s="122">
        <v>10</v>
      </c>
      <c r="AK7" s="119">
        <v>0</v>
      </c>
      <c r="AL7" s="122">
        <v>0</v>
      </c>
      <c r="AM7" s="119">
        <v>17</v>
      </c>
      <c r="AN7" s="122">
        <v>85</v>
      </c>
      <c r="AO7" s="119">
        <v>20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527</v>
      </c>
      <c r="B2" s="91" t="s">
        <v>238</v>
      </c>
      <c r="C2" s="82">
        <f>VLOOKUP(GroupVertices[[#This Row],[Vertex]],Vertices[],MATCH("ID",Vertices[[#Headers],[Vertex]:[Vertex Content Word Count]],0),FALSE)</f>
        <v>10</v>
      </c>
    </row>
    <row r="3" spans="1:3" ht="15">
      <c r="A3" s="83" t="s">
        <v>527</v>
      </c>
      <c r="B3" s="91" t="s">
        <v>268</v>
      </c>
      <c r="C3" s="82">
        <f>VLOOKUP(GroupVertices[[#This Row],[Vertex]],Vertices[],MATCH("ID",Vertices[[#Headers],[Vertex]:[Vertex Content Word Count]],0),FALSE)</f>
        <v>34</v>
      </c>
    </row>
    <row r="4" spans="1:3" ht="15">
      <c r="A4" s="83" t="s">
        <v>527</v>
      </c>
      <c r="B4" s="91" t="s">
        <v>237</v>
      </c>
      <c r="C4" s="82">
        <f>VLOOKUP(GroupVertices[[#This Row],[Vertex]],Vertices[],MATCH("ID",Vertices[[#Headers],[Vertex]:[Vertex Content Word Count]],0),FALSE)</f>
        <v>8</v>
      </c>
    </row>
    <row r="5" spans="1:3" ht="15">
      <c r="A5" s="83" t="s">
        <v>527</v>
      </c>
      <c r="B5" s="91" t="s">
        <v>267</v>
      </c>
      <c r="C5" s="82">
        <f>VLOOKUP(GroupVertices[[#This Row],[Vertex]],Vertices[],MATCH("ID",Vertices[[#Headers],[Vertex]:[Vertex Content Word Count]],0),FALSE)</f>
        <v>33</v>
      </c>
    </row>
    <row r="6" spans="1:3" ht="15">
      <c r="A6" s="83" t="s">
        <v>527</v>
      </c>
      <c r="B6" s="91" t="s">
        <v>266</v>
      </c>
      <c r="C6" s="82">
        <f>VLOOKUP(GroupVertices[[#This Row],[Vertex]],Vertices[],MATCH("ID",Vertices[[#Headers],[Vertex]:[Vertex Content Word Count]],0),FALSE)</f>
        <v>32</v>
      </c>
    </row>
    <row r="7" spans="1:3" ht="15">
      <c r="A7" s="83" t="s">
        <v>527</v>
      </c>
      <c r="B7" s="91" t="s">
        <v>265</v>
      </c>
      <c r="C7" s="82">
        <f>VLOOKUP(GroupVertices[[#This Row],[Vertex]],Vertices[],MATCH("ID",Vertices[[#Headers],[Vertex]:[Vertex Content Word Count]],0),FALSE)</f>
        <v>31</v>
      </c>
    </row>
    <row r="8" spans="1:3" ht="15">
      <c r="A8" s="83" t="s">
        <v>527</v>
      </c>
      <c r="B8" s="91" t="s">
        <v>264</v>
      </c>
      <c r="C8" s="82">
        <f>VLOOKUP(GroupVertices[[#This Row],[Vertex]],Vertices[],MATCH("ID",Vertices[[#Headers],[Vertex]:[Vertex Content Word Count]],0),FALSE)</f>
        <v>30</v>
      </c>
    </row>
    <row r="9" spans="1:3" ht="15">
      <c r="A9" s="83" t="s">
        <v>527</v>
      </c>
      <c r="B9" s="91" t="s">
        <v>263</v>
      </c>
      <c r="C9" s="82">
        <f>VLOOKUP(GroupVertices[[#This Row],[Vertex]],Vertices[],MATCH("ID",Vertices[[#Headers],[Vertex]:[Vertex Content Word Count]],0),FALSE)</f>
        <v>29</v>
      </c>
    </row>
    <row r="10" spans="1:3" ht="15">
      <c r="A10" s="83" t="s">
        <v>527</v>
      </c>
      <c r="B10" s="91" t="s">
        <v>262</v>
      </c>
      <c r="C10" s="82">
        <f>VLOOKUP(GroupVertices[[#This Row],[Vertex]],Vertices[],MATCH("ID",Vertices[[#Headers],[Vertex]:[Vertex Content Word Count]],0),FALSE)</f>
        <v>28</v>
      </c>
    </row>
    <row r="11" spans="1:3" ht="15">
      <c r="A11" s="83" t="s">
        <v>527</v>
      </c>
      <c r="B11" s="91" t="s">
        <v>261</v>
      </c>
      <c r="C11" s="82">
        <f>VLOOKUP(GroupVertices[[#This Row],[Vertex]],Vertices[],MATCH("ID",Vertices[[#Headers],[Vertex]:[Vertex Content Word Count]],0),FALSE)</f>
        <v>27</v>
      </c>
    </row>
    <row r="12" spans="1:3" ht="15">
      <c r="A12" s="83" t="s">
        <v>527</v>
      </c>
      <c r="B12" s="91" t="s">
        <v>260</v>
      </c>
      <c r="C12" s="82">
        <f>VLOOKUP(GroupVertices[[#This Row],[Vertex]],Vertices[],MATCH("ID",Vertices[[#Headers],[Vertex]:[Vertex Content Word Count]],0),FALSE)</f>
        <v>26</v>
      </c>
    </row>
    <row r="13" spans="1:3" ht="15">
      <c r="A13" s="83" t="s">
        <v>527</v>
      </c>
      <c r="B13" s="91" t="s">
        <v>259</v>
      </c>
      <c r="C13" s="82">
        <f>VLOOKUP(GroupVertices[[#This Row],[Vertex]],Vertices[],MATCH("ID",Vertices[[#Headers],[Vertex]:[Vertex Content Word Count]],0),FALSE)</f>
        <v>25</v>
      </c>
    </row>
    <row r="14" spans="1:3" ht="15">
      <c r="A14" s="83" t="s">
        <v>527</v>
      </c>
      <c r="B14" s="91" t="s">
        <v>258</v>
      </c>
      <c r="C14" s="82">
        <f>VLOOKUP(GroupVertices[[#This Row],[Vertex]],Vertices[],MATCH("ID",Vertices[[#Headers],[Vertex]:[Vertex Content Word Count]],0),FALSE)</f>
        <v>24</v>
      </c>
    </row>
    <row r="15" spans="1:3" ht="15">
      <c r="A15" s="83" t="s">
        <v>527</v>
      </c>
      <c r="B15" s="91" t="s">
        <v>257</v>
      </c>
      <c r="C15" s="82">
        <f>VLOOKUP(GroupVertices[[#This Row],[Vertex]],Vertices[],MATCH("ID",Vertices[[#Headers],[Vertex]:[Vertex Content Word Count]],0),FALSE)</f>
        <v>23</v>
      </c>
    </row>
    <row r="16" spans="1:3" ht="15">
      <c r="A16" s="83" t="s">
        <v>527</v>
      </c>
      <c r="B16" s="91" t="s">
        <v>256</v>
      </c>
      <c r="C16" s="82">
        <f>VLOOKUP(GroupVertices[[#This Row],[Vertex]],Vertices[],MATCH("ID",Vertices[[#Headers],[Vertex]:[Vertex Content Word Count]],0),FALSE)</f>
        <v>22</v>
      </c>
    </row>
    <row r="17" spans="1:3" ht="15">
      <c r="A17" s="83" t="s">
        <v>527</v>
      </c>
      <c r="B17" s="91" t="s">
        <v>255</v>
      </c>
      <c r="C17" s="82">
        <f>VLOOKUP(GroupVertices[[#This Row],[Vertex]],Vertices[],MATCH("ID",Vertices[[#Headers],[Vertex]:[Vertex Content Word Count]],0),FALSE)</f>
        <v>21</v>
      </c>
    </row>
    <row r="18" spans="1:3" ht="15">
      <c r="A18" s="83" t="s">
        <v>527</v>
      </c>
      <c r="B18" s="91" t="s">
        <v>254</v>
      </c>
      <c r="C18" s="82">
        <f>VLOOKUP(GroupVertices[[#This Row],[Vertex]],Vertices[],MATCH("ID",Vertices[[#Headers],[Vertex]:[Vertex Content Word Count]],0),FALSE)</f>
        <v>20</v>
      </c>
    </row>
    <row r="19" spans="1:3" ht="15">
      <c r="A19" s="83" t="s">
        <v>527</v>
      </c>
      <c r="B19" s="91" t="s">
        <v>253</v>
      </c>
      <c r="C19" s="82">
        <f>VLOOKUP(GroupVertices[[#This Row],[Vertex]],Vertices[],MATCH("ID",Vertices[[#Headers],[Vertex]:[Vertex Content Word Count]],0),FALSE)</f>
        <v>19</v>
      </c>
    </row>
    <row r="20" spans="1:3" ht="15">
      <c r="A20" s="83" t="s">
        <v>527</v>
      </c>
      <c r="B20" s="91" t="s">
        <v>252</v>
      </c>
      <c r="C20" s="82">
        <f>VLOOKUP(GroupVertices[[#This Row],[Vertex]],Vertices[],MATCH("ID",Vertices[[#Headers],[Vertex]:[Vertex Content Word Count]],0),FALSE)</f>
        <v>18</v>
      </c>
    </row>
    <row r="21" spans="1:3" ht="15">
      <c r="A21" s="83" t="s">
        <v>527</v>
      </c>
      <c r="B21" s="91" t="s">
        <v>251</v>
      </c>
      <c r="C21" s="82">
        <f>VLOOKUP(GroupVertices[[#This Row],[Vertex]],Vertices[],MATCH("ID",Vertices[[#Headers],[Vertex]:[Vertex Content Word Count]],0),FALSE)</f>
        <v>17</v>
      </c>
    </row>
    <row r="22" spans="1:3" ht="15">
      <c r="A22" s="83" t="s">
        <v>527</v>
      </c>
      <c r="B22" s="91" t="s">
        <v>250</v>
      </c>
      <c r="C22" s="82">
        <f>VLOOKUP(GroupVertices[[#This Row],[Vertex]],Vertices[],MATCH("ID",Vertices[[#Headers],[Vertex]:[Vertex Content Word Count]],0),FALSE)</f>
        <v>16</v>
      </c>
    </row>
    <row r="23" spans="1:3" ht="15">
      <c r="A23" s="83" t="s">
        <v>527</v>
      </c>
      <c r="B23" s="91" t="s">
        <v>249</v>
      </c>
      <c r="C23" s="82">
        <f>VLOOKUP(GroupVertices[[#This Row],[Vertex]],Vertices[],MATCH("ID",Vertices[[#Headers],[Vertex]:[Vertex Content Word Count]],0),FALSE)</f>
        <v>15</v>
      </c>
    </row>
    <row r="24" spans="1:3" ht="15">
      <c r="A24" s="83" t="s">
        <v>527</v>
      </c>
      <c r="B24" s="91" t="s">
        <v>248</v>
      </c>
      <c r="C24" s="82">
        <f>VLOOKUP(GroupVertices[[#This Row],[Vertex]],Vertices[],MATCH("ID",Vertices[[#Headers],[Vertex]:[Vertex Content Word Count]],0),FALSE)</f>
        <v>14</v>
      </c>
    </row>
    <row r="25" spans="1:3" ht="15">
      <c r="A25" s="83" t="s">
        <v>527</v>
      </c>
      <c r="B25" s="91" t="s">
        <v>247</v>
      </c>
      <c r="C25" s="82">
        <f>VLOOKUP(GroupVertices[[#This Row],[Vertex]],Vertices[],MATCH("ID",Vertices[[#Headers],[Vertex]:[Vertex Content Word Count]],0),FALSE)</f>
        <v>13</v>
      </c>
    </row>
    <row r="26" spans="1:3" ht="15">
      <c r="A26" s="83" t="s">
        <v>527</v>
      </c>
      <c r="B26" s="91" t="s">
        <v>246</v>
      </c>
      <c r="C26" s="82">
        <f>VLOOKUP(GroupVertices[[#This Row],[Vertex]],Vertices[],MATCH("ID",Vertices[[#Headers],[Vertex]:[Vertex Content Word Count]],0),FALSE)</f>
        <v>12</v>
      </c>
    </row>
    <row r="27" spans="1:3" ht="15">
      <c r="A27" s="83" t="s">
        <v>527</v>
      </c>
      <c r="B27" s="91" t="s">
        <v>245</v>
      </c>
      <c r="C27" s="82">
        <f>VLOOKUP(GroupVertices[[#This Row],[Vertex]],Vertices[],MATCH("ID",Vertices[[#Headers],[Vertex]:[Vertex Content Word Count]],0),FALSE)</f>
        <v>11</v>
      </c>
    </row>
    <row r="28" spans="1:3" ht="15">
      <c r="A28" s="83" t="s">
        <v>527</v>
      </c>
      <c r="B28" s="91" t="s">
        <v>244</v>
      </c>
      <c r="C28" s="82">
        <f>VLOOKUP(GroupVertices[[#This Row],[Vertex]],Vertices[],MATCH("ID",Vertices[[#Headers],[Vertex]:[Vertex Content Word Count]],0),FALSE)</f>
        <v>9</v>
      </c>
    </row>
    <row r="29" spans="1:3" ht="15">
      <c r="A29" s="83" t="s">
        <v>528</v>
      </c>
      <c r="B29" s="91" t="s">
        <v>242</v>
      </c>
      <c r="C29" s="82">
        <f>VLOOKUP(GroupVertices[[#This Row],[Vertex]],Vertices[],MATCH("ID",Vertices[[#Headers],[Vertex]:[Vertex Content Word Count]],0),FALSE)</f>
        <v>3</v>
      </c>
    </row>
    <row r="30" spans="1:3" ht="15">
      <c r="A30" s="83" t="s">
        <v>528</v>
      </c>
      <c r="B30" s="91" t="s">
        <v>234</v>
      </c>
      <c r="C30" s="82">
        <f>VLOOKUP(GroupVertices[[#This Row],[Vertex]],Vertices[],MATCH("ID",Vertices[[#Headers],[Vertex]:[Vertex Content Word Count]],0),FALSE)</f>
        <v>4</v>
      </c>
    </row>
    <row r="31" spans="1:3" ht="15">
      <c r="A31" s="83" t="s">
        <v>528</v>
      </c>
      <c r="B31" s="91" t="s">
        <v>235</v>
      </c>
      <c r="C31" s="82">
        <f>VLOOKUP(GroupVertices[[#This Row],[Vertex]],Vertices[],MATCH("ID",Vertices[[#Headers],[Vertex]:[Vertex Content Word Count]],0),FALSE)</f>
        <v>5</v>
      </c>
    </row>
    <row r="32" spans="1:3" ht="15">
      <c r="A32" s="83" t="s">
        <v>528</v>
      </c>
      <c r="B32" s="91" t="s">
        <v>239</v>
      </c>
      <c r="C32" s="82">
        <f>VLOOKUP(GroupVertices[[#This Row],[Vertex]],Vertices[],MATCH("ID",Vertices[[#Headers],[Vertex]:[Vertex Content Word Count]],0),FALSE)</f>
        <v>35</v>
      </c>
    </row>
    <row r="33" spans="1:3" ht="15">
      <c r="A33" s="83" t="s">
        <v>529</v>
      </c>
      <c r="B33" s="91" t="s">
        <v>240</v>
      </c>
      <c r="C33" s="82">
        <f>VLOOKUP(GroupVertices[[#This Row],[Vertex]],Vertices[],MATCH("ID",Vertices[[#Headers],[Vertex]:[Vertex Content Word Count]],0),FALSE)</f>
        <v>36</v>
      </c>
    </row>
    <row r="34" spans="1:3" ht="15">
      <c r="A34" s="83" t="s">
        <v>529</v>
      </c>
      <c r="B34" s="91" t="s">
        <v>270</v>
      </c>
      <c r="C34" s="82">
        <f>VLOOKUP(GroupVertices[[#This Row],[Vertex]],Vertices[],MATCH("ID",Vertices[[#Headers],[Vertex]:[Vertex Content Word Count]],0),FALSE)</f>
        <v>38</v>
      </c>
    </row>
    <row r="35" spans="1:3" ht="15">
      <c r="A35" s="83" t="s">
        <v>529</v>
      </c>
      <c r="B35" s="91" t="s">
        <v>269</v>
      </c>
      <c r="C35" s="82">
        <f>VLOOKUP(GroupVertices[[#This Row],[Vertex]],Vertices[],MATCH("ID",Vertices[[#Headers],[Vertex]:[Vertex Content Word Count]],0),FALSE)</f>
        <v>37</v>
      </c>
    </row>
    <row r="36" spans="1:3" ht="15">
      <c r="A36" s="83" t="s">
        <v>530</v>
      </c>
      <c r="B36" s="91" t="s">
        <v>241</v>
      </c>
      <c r="C36" s="82">
        <f>VLOOKUP(GroupVertices[[#This Row],[Vertex]],Vertices[],MATCH("ID",Vertices[[#Headers],[Vertex]:[Vertex Content Word Count]],0),FALSE)</f>
        <v>39</v>
      </c>
    </row>
    <row r="37" spans="1:3" ht="15">
      <c r="A37" s="83" t="s">
        <v>530</v>
      </c>
      <c r="B37" s="91" t="s">
        <v>271</v>
      </c>
      <c r="C37" s="82">
        <f>VLOOKUP(GroupVertices[[#This Row],[Vertex]],Vertices[],MATCH("ID",Vertices[[#Headers],[Vertex]:[Vertex Content Word Count]],0),FALSE)</f>
        <v>40</v>
      </c>
    </row>
    <row r="38" spans="1:3" ht="15">
      <c r="A38" s="83" t="s">
        <v>531</v>
      </c>
      <c r="B38" s="91" t="s">
        <v>236</v>
      </c>
      <c r="C38" s="82">
        <f>VLOOKUP(GroupVertices[[#This Row],[Vertex]],Vertices[],MATCH("ID",Vertices[[#Headers],[Vertex]:[Vertex Content Word Count]],0),FALSE)</f>
        <v>6</v>
      </c>
    </row>
    <row r="39" spans="1:3" ht="15">
      <c r="A39" s="83" t="s">
        <v>531</v>
      </c>
      <c r="B39" s="91" t="s">
        <v>243</v>
      </c>
      <c r="C39" s="82">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750</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29</v>
      </c>
      <c r="N2" s="39">
        <f>MIN(Vertices[Eigenvector Centrality])</f>
        <v>0</v>
      </c>
      <c r="O2" s="40">
        <f>COUNTIF(Vertices[Eigenvector Centrality],"&gt;= "&amp;N2)-COUNTIF(Vertices[Eigenvector Centrality],"&gt;="&amp;N3)</f>
        <v>11</v>
      </c>
      <c r="P2" s="39">
        <f>MIN(Vertices[PageRank])</f>
        <v>0.568247</v>
      </c>
      <c r="Q2" s="40">
        <f>COUNTIF(Vertices[PageRank],"&gt;= "&amp;P2)-COUNTIF(Vertices[PageRank],"&gt;="&amp;P3)</f>
        <v>25</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5"/>
      <c r="B3" s="125"/>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0.7647058823529411</v>
      </c>
      <c r="I3" s="42">
        <f>COUNTIF(Vertices[Out-Degree],"&gt;= "&amp;H3)-COUNTIF(Vertices[Out-Degree],"&gt;="&amp;H4)</f>
        <v>6</v>
      </c>
      <c r="J3" s="41">
        <f aca="true" t="shared" si="4" ref="J3:J35">J2+($J$36-$J$2)/BinDivisor</f>
        <v>8.823529411764707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2</v>
      </c>
      <c r="N3" s="41">
        <f aca="true" t="shared" si="6" ref="N3:N35">N2+($N$36-$N$2)/BinDivisor</f>
        <v>0.003424470588235294</v>
      </c>
      <c r="O3" s="42">
        <f>COUNTIF(Vertices[Eigenvector Centrality],"&gt;= "&amp;N3)-COUNTIF(Vertices[Eigenvector Centrality],"&gt;="&amp;N4)</f>
        <v>0</v>
      </c>
      <c r="P3" s="41">
        <f aca="true" t="shared" si="7" ref="P3:P35">P2+($P$36-$P$2)/BinDivisor</f>
        <v>0.7396731176470588</v>
      </c>
      <c r="Q3" s="42">
        <f>COUNTIF(Vertices[PageRank],"&gt;= "&amp;P3)-COUNTIF(Vertices[PageRank],"&gt;="&amp;P4)</f>
        <v>2</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0.11764705882352941</v>
      </c>
      <c r="G4" s="40">
        <f>COUNTIF(Vertices[In-Degree],"&gt;= "&amp;F4)-COUNTIF(Vertices[In-Degree],"&gt;="&amp;F5)</f>
        <v>0</v>
      </c>
      <c r="H4" s="39">
        <f t="shared" si="3"/>
        <v>1.5294117647058822</v>
      </c>
      <c r="I4" s="40">
        <f>COUNTIF(Vertices[Out-Degree],"&gt;= "&amp;H4)-COUNTIF(Vertices[Out-Degree],"&gt;="&amp;H5)</f>
        <v>1</v>
      </c>
      <c r="J4" s="39">
        <f t="shared" si="4"/>
        <v>17.647058823529413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0.006848941176470588</v>
      </c>
      <c r="O4" s="40">
        <f>COUNTIF(Vertices[Eigenvector Centrality],"&gt;= "&amp;N4)-COUNTIF(Vertices[Eigenvector Centrality],"&gt;="&amp;N5)</f>
        <v>0</v>
      </c>
      <c r="P4" s="39">
        <f t="shared" si="7"/>
        <v>0.9110992352941176</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0.1764705882352941</v>
      </c>
      <c r="G5" s="42">
        <f>COUNTIF(Vertices[In-Degree],"&gt;= "&amp;F5)-COUNTIF(Vertices[In-Degree],"&gt;="&amp;F6)</f>
        <v>0</v>
      </c>
      <c r="H5" s="41">
        <f t="shared" si="3"/>
        <v>2.2941176470588234</v>
      </c>
      <c r="I5" s="42">
        <f>COUNTIF(Vertices[Out-Degree],"&gt;= "&amp;H5)-COUNTIF(Vertices[Out-Degree],"&gt;="&amp;H6)</f>
        <v>0</v>
      </c>
      <c r="J5" s="41">
        <f t="shared" si="4"/>
        <v>26.47058823529412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0.010273411764705882</v>
      </c>
      <c r="O5" s="42">
        <f>COUNTIF(Vertices[Eigenvector Centrality],"&gt;= "&amp;N5)-COUNTIF(Vertices[Eigenvector Centrality],"&gt;="&amp;N6)</f>
        <v>0</v>
      </c>
      <c r="P5" s="41">
        <f t="shared" si="7"/>
        <v>1.0825253529411765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59</v>
      </c>
      <c r="D6" s="34">
        <f t="shared" si="1"/>
        <v>0</v>
      </c>
      <c r="E6" s="3">
        <f>COUNTIF(Vertices[Degree],"&gt;= "&amp;D6)-COUNTIF(Vertices[Degree],"&gt;="&amp;D7)</f>
        <v>0</v>
      </c>
      <c r="F6" s="39">
        <f t="shared" si="2"/>
        <v>0.23529411764705882</v>
      </c>
      <c r="G6" s="40">
        <f>COUNTIF(Vertices[In-Degree],"&gt;= "&amp;F6)-COUNTIF(Vertices[In-Degree],"&gt;="&amp;F7)</f>
        <v>0</v>
      </c>
      <c r="H6" s="39">
        <f t="shared" si="3"/>
        <v>3.0588235294117645</v>
      </c>
      <c r="I6" s="40">
        <f>COUNTIF(Vertices[Out-Degree],"&gt;= "&amp;H6)-COUNTIF(Vertices[Out-Degree],"&gt;="&amp;H7)</f>
        <v>0</v>
      </c>
      <c r="J6" s="39">
        <f t="shared" si="4"/>
        <v>35.294117647058826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0.013697882352941176</v>
      </c>
      <c r="O6" s="40">
        <f>COUNTIF(Vertices[Eigenvector Centrality],"&gt;= "&amp;N6)-COUNTIF(Vertices[Eigenvector Centrality],"&gt;="&amp;N7)</f>
        <v>0</v>
      </c>
      <c r="P6" s="39">
        <f t="shared" si="7"/>
        <v>1.2539514705882353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3.8235294117647056</v>
      </c>
      <c r="I7" s="42">
        <f>COUNTIF(Vertices[Out-Degree],"&gt;= "&amp;H7)-COUNTIF(Vertices[Out-Degree],"&gt;="&amp;H8)</f>
        <v>0</v>
      </c>
      <c r="J7" s="41">
        <f t="shared" si="4"/>
        <v>44.117647058823536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0.01712235294117647</v>
      </c>
      <c r="O7" s="42">
        <f>COUNTIF(Vertices[Eigenvector Centrality],"&gt;= "&amp;N7)-COUNTIF(Vertices[Eigenvector Centrality],"&gt;="&amp;N8)</f>
        <v>0</v>
      </c>
      <c r="P7" s="41">
        <f t="shared" si="7"/>
        <v>1.4253775882352941</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0.35294117647058826</v>
      </c>
      <c r="G8" s="40">
        <f>COUNTIF(Vertices[In-Degree],"&gt;= "&amp;F8)-COUNTIF(Vertices[In-Degree],"&gt;="&amp;F9)</f>
        <v>0</v>
      </c>
      <c r="H8" s="39">
        <f t="shared" si="3"/>
        <v>4.588235294117647</v>
      </c>
      <c r="I8" s="40">
        <f>COUNTIF(Vertices[Out-Degree],"&gt;= "&amp;H8)-COUNTIF(Vertices[Out-Degree],"&gt;="&amp;H9)</f>
        <v>0</v>
      </c>
      <c r="J8" s="39">
        <f t="shared" si="4"/>
        <v>52.941176470588246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0.020546823529411763</v>
      </c>
      <c r="O8" s="40">
        <f>COUNTIF(Vertices[Eigenvector Centrality],"&gt;= "&amp;N8)-COUNTIF(Vertices[Eigenvector Centrality],"&gt;="&amp;N9)</f>
        <v>0</v>
      </c>
      <c r="P8" s="39">
        <f t="shared" si="7"/>
        <v>1.596803705882353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0.411764705882353</v>
      </c>
      <c r="G9" s="42">
        <f>COUNTIF(Vertices[In-Degree],"&gt;= "&amp;F9)-COUNTIF(Vertices[In-Degree],"&gt;="&amp;F10)</f>
        <v>0</v>
      </c>
      <c r="H9" s="41">
        <f t="shared" si="3"/>
        <v>5.352941176470588</v>
      </c>
      <c r="I9" s="42">
        <f>COUNTIF(Vertices[Out-Degree],"&gt;= "&amp;H9)-COUNTIF(Vertices[Out-Degree],"&gt;="&amp;H10)</f>
        <v>0</v>
      </c>
      <c r="J9" s="41">
        <f t="shared" si="4"/>
        <v>61.764705882352956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0.023971294117647056</v>
      </c>
      <c r="O9" s="42">
        <f>COUNTIF(Vertices[Eigenvector Centrality],"&gt;= "&amp;N9)-COUNTIF(Vertices[Eigenvector Centrality],"&gt;="&amp;N10)</f>
        <v>0</v>
      </c>
      <c r="P9" s="41">
        <f t="shared" si="7"/>
        <v>1.7682298235294118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751</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6.117647058823529</v>
      </c>
      <c r="I10" s="40">
        <f>COUNTIF(Vertices[Out-Degree],"&gt;= "&amp;H10)-COUNTIF(Vertices[Out-Degree],"&gt;="&amp;H11)</f>
        <v>0</v>
      </c>
      <c r="J10" s="39">
        <f t="shared" si="4"/>
        <v>70.58823529411767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0.02739576470588235</v>
      </c>
      <c r="O10" s="40">
        <f>COUNTIF(Vertices[Eigenvector Centrality],"&gt;= "&amp;N10)-COUNTIF(Vertices[Eigenvector Centrality],"&gt;="&amp;N11)</f>
        <v>25</v>
      </c>
      <c r="P10" s="39">
        <f t="shared" si="7"/>
        <v>1.9396559411764707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0.5294117647058824</v>
      </c>
      <c r="G11" s="42">
        <f>COUNTIF(Vertices[In-Degree],"&gt;= "&amp;F11)-COUNTIF(Vertices[In-Degree],"&gt;="&amp;F12)</f>
        <v>0</v>
      </c>
      <c r="H11" s="41">
        <f t="shared" si="3"/>
        <v>6.88235294117647</v>
      </c>
      <c r="I11" s="42">
        <f>COUNTIF(Vertices[Out-Degree],"&gt;= "&amp;H11)-COUNTIF(Vertices[Out-Degree],"&gt;="&amp;H12)</f>
        <v>0</v>
      </c>
      <c r="J11" s="41">
        <f t="shared" si="4"/>
        <v>79.41176470588238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0.03082023529411764</v>
      </c>
      <c r="O11" s="42">
        <f>COUNTIF(Vertices[Eigenvector Centrality],"&gt;= "&amp;N11)-COUNTIF(Vertices[Eigenvector Centrality],"&gt;="&amp;N12)</f>
        <v>0</v>
      </c>
      <c r="P11" s="41">
        <f t="shared" si="7"/>
        <v>2.1110820588235297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272</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7.647058823529411</v>
      </c>
      <c r="I12" s="40">
        <f>COUNTIF(Vertices[Out-Degree],"&gt;= "&amp;H12)-COUNTIF(Vertices[Out-Degree],"&gt;="&amp;H13)</f>
        <v>0</v>
      </c>
      <c r="J12" s="39">
        <f t="shared" si="4"/>
        <v>88.23529411764709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0.034244705882352934</v>
      </c>
      <c r="O12" s="40">
        <f>COUNTIF(Vertices[Eigenvector Centrality],"&gt;= "&amp;N12)-COUNTIF(Vertices[Eigenvector Centrality],"&gt;="&amp;N13)</f>
        <v>0</v>
      </c>
      <c r="P12" s="39">
        <f t="shared" si="7"/>
        <v>2.2825081764705883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273</v>
      </c>
      <c r="B13" s="36">
        <v>26</v>
      </c>
      <c r="D13" s="34">
        <f t="shared" si="1"/>
        <v>0</v>
      </c>
      <c r="E13" s="3">
        <f>COUNTIF(Vertices[Degree],"&gt;= "&amp;D13)-COUNTIF(Vertices[Degree],"&gt;="&amp;D14)</f>
        <v>0</v>
      </c>
      <c r="F13" s="41">
        <f t="shared" si="2"/>
        <v>0.6470588235294118</v>
      </c>
      <c r="G13" s="42">
        <f>COUNTIF(Vertices[In-Degree],"&gt;= "&amp;F13)-COUNTIF(Vertices[In-Degree],"&gt;="&amp;F14)</f>
        <v>0</v>
      </c>
      <c r="H13" s="41">
        <f t="shared" si="3"/>
        <v>8.411764705882351</v>
      </c>
      <c r="I13" s="42">
        <f>COUNTIF(Vertices[Out-Degree],"&gt;= "&amp;H13)-COUNTIF(Vertices[Out-Degree],"&gt;="&amp;H14)</f>
        <v>0</v>
      </c>
      <c r="J13" s="41">
        <f t="shared" si="4"/>
        <v>97.0588235294118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0.03766917647058823</v>
      </c>
      <c r="O13" s="42">
        <f>COUNTIF(Vertices[Eigenvector Centrality],"&gt;= "&amp;N13)-COUNTIF(Vertices[Eigenvector Centrality],"&gt;="&amp;N14)</f>
        <v>0</v>
      </c>
      <c r="P13" s="41">
        <f t="shared" si="7"/>
        <v>2.453934294117647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196</v>
      </c>
      <c r="B14" s="36">
        <v>5</v>
      </c>
      <c r="D14" s="34">
        <f t="shared" si="1"/>
        <v>0</v>
      </c>
      <c r="E14" s="3">
        <f>COUNTIF(Vertices[Degree],"&gt;= "&amp;D14)-COUNTIF(Vertices[Degree],"&gt;="&amp;D15)</f>
        <v>0</v>
      </c>
      <c r="F14" s="39">
        <f t="shared" si="2"/>
        <v>0.7058823529411765</v>
      </c>
      <c r="G14" s="40">
        <f>COUNTIF(Vertices[In-Degree],"&gt;= "&amp;F14)-COUNTIF(Vertices[In-Degree],"&gt;="&amp;F15)</f>
        <v>0</v>
      </c>
      <c r="H14" s="39">
        <f t="shared" si="3"/>
        <v>9.176470588235293</v>
      </c>
      <c r="I14" s="40">
        <f>COUNTIF(Vertices[Out-Degree],"&gt;= "&amp;H14)-COUNTIF(Vertices[Out-Degree],"&gt;="&amp;H15)</f>
        <v>0</v>
      </c>
      <c r="J14" s="39">
        <f t="shared" si="4"/>
        <v>105.8823529411765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0.04109364705882352</v>
      </c>
      <c r="O14" s="40">
        <f>COUNTIF(Vertices[Eigenvector Centrality],"&gt;= "&amp;N14)-COUNTIF(Vertices[Eigenvector Centrality],"&gt;="&amp;N15)</f>
        <v>0</v>
      </c>
      <c r="P14" s="39">
        <f t="shared" si="7"/>
        <v>2.6253604117647056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274</v>
      </c>
      <c r="B15" s="36">
        <v>24</v>
      </c>
      <c r="D15" s="34">
        <f t="shared" si="1"/>
        <v>0</v>
      </c>
      <c r="E15" s="3">
        <f>COUNTIF(Vertices[Degree],"&gt;= "&amp;D15)-COUNTIF(Vertices[Degree],"&gt;="&amp;D16)</f>
        <v>0</v>
      </c>
      <c r="F15" s="41">
        <f t="shared" si="2"/>
        <v>0.7647058823529412</v>
      </c>
      <c r="G15" s="42">
        <f>COUNTIF(Vertices[In-Degree],"&gt;= "&amp;F15)-COUNTIF(Vertices[In-Degree],"&gt;="&amp;F16)</f>
        <v>0</v>
      </c>
      <c r="H15" s="41">
        <f t="shared" si="3"/>
        <v>9.941176470588236</v>
      </c>
      <c r="I15" s="42">
        <f>COUNTIF(Vertices[Out-Degree],"&gt;= "&amp;H15)-COUNTIF(Vertices[Out-Degree],"&gt;="&amp;H16)</f>
        <v>0</v>
      </c>
      <c r="J15" s="41">
        <f t="shared" si="4"/>
        <v>114.70588235294122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0.04451811764705881</v>
      </c>
      <c r="O15" s="42">
        <f>COUNTIF(Vertices[Eigenvector Centrality],"&gt;= "&amp;N15)-COUNTIF(Vertices[Eigenvector Centrality],"&gt;="&amp;N16)</f>
        <v>0</v>
      </c>
      <c r="P15" s="41">
        <f t="shared" si="7"/>
        <v>2.796786529411764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275</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10.705882352941178</v>
      </c>
      <c r="I16" s="40">
        <f>COUNTIF(Vertices[Out-Degree],"&gt;= "&amp;H16)-COUNTIF(Vertices[Out-Degree],"&gt;="&amp;H17)</f>
        <v>0</v>
      </c>
      <c r="J16" s="39">
        <f t="shared" si="4"/>
        <v>123.52941176470593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0.047942588235294105</v>
      </c>
      <c r="O16" s="40">
        <f>COUNTIF(Vertices[Eigenvector Centrality],"&gt;= "&amp;N16)-COUNTIF(Vertices[Eigenvector Centrality],"&gt;="&amp;N17)</f>
        <v>0</v>
      </c>
      <c r="P16" s="39">
        <f t="shared" si="7"/>
        <v>2.968212647058823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5"/>
      <c r="B17" s="125"/>
      <c r="D17" s="34">
        <f t="shared" si="1"/>
        <v>0</v>
      </c>
      <c r="E17" s="3">
        <f>COUNTIF(Vertices[Degree],"&gt;= "&amp;D17)-COUNTIF(Vertices[Degree],"&gt;="&amp;D18)</f>
        <v>0</v>
      </c>
      <c r="F17" s="41">
        <f t="shared" si="2"/>
        <v>0.8823529411764707</v>
      </c>
      <c r="G17" s="42">
        <f>COUNTIF(Vertices[In-Degree],"&gt;= "&amp;F17)-COUNTIF(Vertices[In-Degree],"&gt;="&amp;F18)</f>
        <v>0</v>
      </c>
      <c r="H17" s="41">
        <f t="shared" si="3"/>
        <v>11.47058823529412</v>
      </c>
      <c r="I17" s="42">
        <f>COUNTIF(Vertices[Out-Degree],"&gt;= "&amp;H17)-COUNTIF(Vertices[Out-Degree],"&gt;="&amp;H18)</f>
        <v>0</v>
      </c>
      <c r="J17" s="41">
        <f t="shared" si="4"/>
        <v>132.35294117647064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0.0513670588235294</v>
      </c>
      <c r="O17" s="42">
        <f>COUNTIF(Vertices[Eigenvector Centrality],"&gt;= "&amp;N17)-COUNTIF(Vertices[Eigenvector Centrality],"&gt;="&amp;N18)</f>
        <v>0</v>
      </c>
      <c r="P17" s="41">
        <f t="shared" si="7"/>
        <v>3.1396387647058814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0.9411764705882354</v>
      </c>
      <c r="G18" s="40">
        <f>COUNTIF(Vertices[In-Degree],"&gt;= "&amp;F18)-COUNTIF(Vertices[In-Degree],"&gt;="&amp;F19)</f>
        <v>0</v>
      </c>
      <c r="H18" s="39">
        <f t="shared" si="3"/>
        <v>12.235294117647062</v>
      </c>
      <c r="I18" s="40">
        <f>COUNTIF(Vertices[Out-Degree],"&gt;= "&amp;H18)-COUNTIF(Vertices[Out-Degree],"&gt;="&amp;H19)</f>
        <v>0</v>
      </c>
      <c r="J18" s="39">
        <f t="shared" si="4"/>
        <v>141.17647058823533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0.05479152941176469</v>
      </c>
      <c r="O18" s="40">
        <f>COUNTIF(Vertices[Eigenvector Centrality],"&gt;= "&amp;N18)-COUNTIF(Vertices[Eigenvector Centrality],"&gt;="&amp;N19)</f>
        <v>0</v>
      </c>
      <c r="P18" s="39">
        <f t="shared" si="7"/>
        <v>3.31106488235294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5"/>
      <c r="B19" s="125"/>
      <c r="D19" s="34">
        <f t="shared" si="1"/>
        <v>0</v>
      </c>
      <c r="E19" s="3">
        <f>COUNTIF(Vertices[Degree],"&gt;= "&amp;D19)-COUNTIF(Vertices[Degree],"&gt;="&amp;D20)</f>
        <v>0</v>
      </c>
      <c r="F19" s="41">
        <f t="shared" si="2"/>
        <v>1</v>
      </c>
      <c r="G19" s="42">
        <f>COUNTIF(Vertices[In-Degree],"&gt;= "&amp;F19)-COUNTIF(Vertices[In-Degree],"&gt;="&amp;F20)</f>
        <v>10</v>
      </c>
      <c r="H19" s="41">
        <f t="shared" si="3"/>
        <v>13.000000000000004</v>
      </c>
      <c r="I19" s="42">
        <f>COUNTIF(Vertices[Out-Degree],"&gt;= "&amp;H19)-COUNTIF(Vertices[Out-Degree],"&gt;="&amp;H20)</f>
        <v>0</v>
      </c>
      <c r="J19" s="41">
        <f t="shared" si="4"/>
        <v>150.00000000000003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0.05821599999999998</v>
      </c>
      <c r="O19" s="42">
        <f>COUNTIF(Vertices[Eigenvector Centrality],"&gt;= "&amp;N19)-COUNTIF(Vertices[Eigenvector Centrality],"&gt;="&amp;N20)</f>
        <v>0</v>
      </c>
      <c r="P19" s="41">
        <f t="shared" si="7"/>
        <v>3.4824909999999987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0.01818181818181818</v>
      </c>
      <c r="D20" s="34">
        <f t="shared" si="1"/>
        <v>0</v>
      </c>
      <c r="E20" s="3">
        <f>COUNTIF(Vertices[Degree],"&gt;= "&amp;D20)-COUNTIF(Vertices[Degree],"&gt;="&amp;D21)</f>
        <v>0</v>
      </c>
      <c r="F20" s="39">
        <f t="shared" si="2"/>
        <v>1.0588235294117647</v>
      </c>
      <c r="G20" s="40">
        <f>COUNTIF(Vertices[In-Degree],"&gt;= "&amp;F20)-COUNTIF(Vertices[In-Degree],"&gt;="&amp;F21)</f>
        <v>0</v>
      </c>
      <c r="H20" s="39">
        <f t="shared" si="3"/>
        <v>13.764705882352946</v>
      </c>
      <c r="I20" s="40">
        <f>COUNTIF(Vertices[Out-Degree],"&gt;= "&amp;H20)-COUNTIF(Vertices[Out-Degree],"&gt;="&amp;H21)</f>
        <v>0</v>
      </c>
      <c r="J20" s="39">
        <f t="shared" si="4"/>
        <v>158.82352941176472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0.061640470588235276</v>
      </c>
      <c r="O20" s="40">
        <f>COUNTIF(Vertices[Eigenvector Centrality],"&gt;= "&amp;N20)-COUNTIF(Vertices[Eigenvector Centrality],"&gt;="&amp;N21)</f>
        <v>0</v>
      </c>
      <c r="P20" s="39">
        <f t="shared" si="7"/>
        <v>3.6539171176470573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0.03571428571428571</v>
      </c>
      <c r="D21" s="34">
        <f t="shared" si="1"/>
        <v>0</v>
      </c>
      <c r="E21" s="3">
        <f>COUNTIF(Vertices[Degree],"&gt;= "&amp;D21)-COUNTIF(Vertices[Degree],"&gt;="&amp;D22)</f>
        <v>0</v>
      </c>
      <c r="F21" s="41">
        <f t="shared" si="2"/>
        <v>1.1176470588235294</v>
      </c>
      <c r="G21" s="42">
        <f>COUNTIF(Vertices[In-Degree],"&gt;= "&amp;F21)-COUNTIF(Vertices[In-Degree],"&gt;="&amp;F22)</f>
        <v>0</v>
      </c>
      <c r="H21" s="41">
        <f t="shared" si="3"/>
        <v>14.529411764705888</v>
      </c>
      <c r="I21" s="42">
        <f>COUNTIF(Vertices[Out-Degree],"&gt;= "&amp;H21)-COUNTIF(Vertices[Out-Degree],"&gt;="&amp;H22)</f>
        <v>0</v>
      </c>
      <c r="J21" s="41">
        <f t="shared" si="4"/>
        <v>167.64705882352942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0.06506494117647058</v>
      </c>
      <c r="O21" s="42">
        <f>COUNTIF(Vertices[Eigenvector Centrality],"&gt;= "&amp;N21)-COUNTIF(Vertices[Eigenvector Centrality],"&gt;="&amp;N22)</f>
        <v>0</v>
      </c>
      <c r="P21" s="41">
        <f t="shared" si="7"/>
        <v>3.825343235294116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5"/>
      <c r="B22" s="125"/>
      <c r="D22" s="34">
        <f t="shared" si="1"/>
        <v>0</v>
      </c>
      <c r="E22" s="3">
        <f>COUNTIF(Vertices[Degree],"&gt;= "&amp;D22)-COUNTIF(Vertices[Degree],"&gt;="&amp;D23)</f>
        <v>0</v>
      </c>
      <c r="F22" s="39">
        <f t="shared" si="2"/>
        <v>1.1764705882352942</v>
      </c>
      <c r="G22" s="40">
        <f>COUNTIF(Vertices[In-Degree],"&gt;= "&amp;F22)-COUNTIF(Vertices[In-Degree],"&gt;="&amp;F23)</f>
        <v>0</v>
      </c>
      <c r="H22" s="39">
        <f t="shared" si="3"/>
        <v>15.29411764705883</v>
      </c>
      <c r="I22" s="40">
        <f>COUNTIF(Vertices[Out-Degree],"&gt;= "&amp;H22)-COUNTIF(Vertices[Out-Degree],"&gt;="&amp;H23)</f>
        <v>0</v>
      </c>
      <c r="J22" s="39">
        <f t="shared" si="4"/>
        <v>176.47058823529412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0.06848941176470587</v>
      </c>
      <c r="O22" s="40">
        <f>COUNTIF(Vertices[Eigenvector Centrality],"&gt;= "&amp;N22)-COUNTIF(Vertices[Eigenvector Centrality],"&gt;="&amp;N23)</f>
        <v>0</v>
      </c>
      <c r="P22" s="39">
        <f t="shared" si="7"/>
        <v>3.9967693529411745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1.2352941176470589</v>
      </c>
      <c r="G23" s="42">
        <f>COUNTIF(Vertices[In-Degree],"&gt;= "&amp;F23)-COUNTIF(Vertices[In-Degree],"&gt;="&amp;F24)</f>
        <v>0</v>
      </c>
      <c r="H23" s="41">
        <f t="shared" si="3"/>
        <v>16.05882352941177</v>
      </c>
      <c r="I23" s="42">
        <f>COUNTIF(Vertices[Out-Degree],"&gt;= "&amp;H23)-COUNTIF(Vertices[Out-Degree],"&gt;="&amp;H24)</f>
        <v>0</v>
      </c>
      <c r="J23" s="41">
        <f t="shared" si="4"/>
        <v>185.2941176470588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0.07191388235294116</v>
      </c>
      <c r="O23" s="42">
        <f>COUNTIF(Vertices[Eigenvector Centrality],"&gt;= "&amp;N23)-COUNTIF(Vertices[Eigenvector Centrality],"&gt;="&amp;N24)</f>
        <v>0</v>
      </c>
      <c r="P23" s="41">
        <f t="shared" si="7"/>
        <v>4.168195470588233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16.823529411764714</v>
      </c>
      <c r="I24" s="40">
        <f>COUNTIF(Vertices[Out-Degree],"&gt;= "&amp;H24)-COUNTIF(Vertices[Out-Degree],"&gt;="&amp;H25)</f>
        <v>0</v>
      </c>
      <c r="J24" s="39">
        <f t="shared" si="4"/>
        <v>194.1176470588235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0.07533835294117645</v>
      </c>
      <c r="O24" s="40">
        <f>COUNTIF(Vertices[Eigenvector Centrality],"&gt;= "&amp;N24)-COUNTIF(Vertices[Eigenvector Centrality],"&gt;="&amp;N25)</f>
        <v>0</v>
      </c>
      <c r="P24" s="39">
        <f t="shared" si="7"/>
        <v>4.339621588235292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27</v>
      </c>
      <c r="D25" s="34">
        <f t="shared" si="1"/>
        <v>0</v>
      </c>
      <c r="E25" s="3">
        <f>COUNTIF(Vertices[Degree],"&gt;= "&amp;D25)-COUNTIF(Vertices[Degree],"&gt;="&amp;D26)</f>
        <v>0</v>
      </c>
      <c r="F25" s="41">
        <f t="shared" si="2"/>
        <v>1.3529411764705883</v>
      </c>
      <c r="G25" s="42">
        <f>COUNTIF(Vertices[In-Degree],"&gt;= "&amp;F25)-COUNTIF(Vertices[In-Degree],"&gt;="&amp;F26)</f>
        <v>0</v>
      </c>
      <c r="H25" s="41">
        <f t="shared" si="3"/>
        <v>17.588235294117656</v>
      </c>
      <c r="I25" s="42">
        <f>COUNTIF(Vertices[Out-Degree],"&gt;= "&amp;H25)-COUNTIF(Vertices[Out-Degree],"&gt;="&amp;H26)</f>
        <v>0</v>
      </c>
      <c r="J25" s="41">
        <f t="shared" si="4"/>
        <v>202.9411764705882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0.07876282352941175</v>
      </c>
      <c r="O25" s="42">
        <f>COUNTIF(Vertices[Eigenvector Centrality],"&gt;= "&amp;N25)-COUNTIF(Vertices[Eigenvector Centrality],"&gt;="&amp;N26)</f>
        <v>0</v>
      </c>
      <c r="P25" s="41">
        <f t="shared" si="7"/>
        <v>4.51104770588235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52</v>
      </c>
      <c r="D26" s="34">
        <f t="shared" si="1"/>
        <v>0</v>
      </c>
      <c r="E26" s="3">
        <f>COUNTIF(Vertices[Degree],"&gt;= "&amp;D26)-COUNTIF(Vertices[Degree],"&gt;="&amp;D27)</f>
        <v>0</v>
      </c>
      <c r="F26" s="39">
        <f t="shared" si="2"/>
        <v>1.411764705882353</v>
      </c>
      <c r="G26" s="40">
        <f>COUNTIF(Vertices[In-Degree],"&gt;= "&amp;F26)-COUNTIF(Vertices[In-Degree],"&gt;="&amp;F27)</f>
        <v>0</v>
      </c>
      <c r="H26" s="39">
        <f t="shared" si="3"/>
        <v>18.352941176470598</v>
      </c>
      <c r="I26" s="40">
        <f>COUNTIF(Vertices[Out-Degree],"&gt;= "&amp;H26)-COUNTIF(Vertices[Out-Degree],"&gt;="&amp;H27)</f>
        <v>0</v>
      </c>
      <c r="J26" s="39">
        <f t="shared" si="4"/>
        <v>211.7647058823529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0.08218729411764704</v>
      </c>
      <c r="O26" s="40">
        <f>COUNTIF(Vertices[Eigenvector Centrality],"&gt;= "&amp;N26)-COUNTIF(Vertices[Eigenvector Centrality],"&gt;="&amp;N27)</f>
        <v>0</v>
      </c>
      <c r="P26" s="39">
        <f t="shared" si="7"/>
        <v>4.682473823529409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5"/>
      <c r="B27" s="125"/>
      <c r="D27" s="34">
        <f t="shared" si="1"/>
        <v>0</v>
      </c>
      <c r="E27" s="3">
        <f>COUNTIF(Vertices[Degree],"&gt;= "&amp;D27)-COUNTIF(Vertices[Degree],"&gt;="&amp;D28)</f>
        <v>0</v>
      </c>
      <c r="F27" s="41">
        <f t="shared" si="2"/>
        <v>1.4705882352941178</v>
      </c>
      <c r="G27" s="42">
        <f>COUNTIF(Vertices[In-Degree],"&gt;= "&amp;F27)-COUNTIF(Vertices[In-Degree],"&gt;="&amp;F28)</f>
        <v>0</v>
      </c>
      <c r="H27" s="41">
        <f t="shared" si="3"/>
        <v>19.11764705882354</v>
      </c>
      <c r="I27" s="42">
        <f>COUNTIF(Vertices[Out-Degree],"&gt;= "&amp;H27)-COUNTIF(Vertices[Out-Degree],"&gt;="&amp;H28)</f>
        <v>0</v>
      </c>
      <c r="J27" s="41">
        <f t="shared" si="4"/>
        <v>220.5882352941176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0.08561176470588233</v>
      </c>
      <c r="O27" s="42">
        <f>COUNTIF(Vertices[Eigenvector Centrality],"&gt;= "&amp;N27)-COUNTIF(Vertices[Eigenvector Centrality],"&gt;="&amp;N28)</f>
        <v>0</v>
      </c>
      <c r="P27" s="41">
        <f t="shared" si="7"/>
        <v>4.853899941176468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19.88235294117648</v>
      </c>
      <c r="I28" s="40">
        <f>COUNTIF(Vertices[Out-Degree],"&gt;= "&amp;H28)-COUNTIF(Vertices[Out-Degree],"&gt;="&amp;H29)</f>
        <v>0</v>
      </c>
      <c r="J28" s="39">
        <f t="shared" si="4"/>
        <v>229.4117647058823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0.08903623529411762</v>
      </c>
      <c r="O28" s="40">
        <f>COUNTIF(Vertices[Eigenvector Centrality],"&gt;= "&amp;N28)-COUNTIF(Vertices[Eigenvector Centrality],"&gt;="&amp;N29)</f>
        <v>0</v>
      </c>
      <c r="P28" s="39">
        <f t="shared" si="7"/>
        <v>5.025326058823526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1.752</v>
      </c>
      <c r="D29" s="34">
        <f t="shared" si="1"/>
        <v>0</v>
      </c>
      <c r="E29" s="3">
        <f>COUNTIF(Vertices[Degree],"&gt;= "&amp;D29)-COUNTIF(Vertices[Degree],"&gt;="&amp;D30)</f>
        <v>0</v>
      </c>
      <c r="F29" s="41">
        <f t="shared" si="2"/>
        <v>1.5882352941176472</v>
      </c>
      <c r="G29" s="42">
        <f>COUNTIF(Vertices[In-Degree],"&gt;= "&amp;F29)-COUNTIF(Vertices[In-Degree],"&gt;="&amp;F30)</f>
        <v>0</v>
      </c>
      <c r="H29" s="41">
        <f t="shared" si="3"/>
        <v>20.647058823529424</v>
      </c>
      <c r="I29" s="42">
        <f>COUNTIF(Vertices[Out-Degree],"&gt;= "&amp;H29)-COUNTIF(Vertices[Out-Degree],"&gt;="&amp;H30)</f>
        <v>0</v>
      </c>
      <c r="J29" s="41">
        <f t="shared" si="4"/>
        <v>238.235294117647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0.09246070588235292</v>
      </c>
      <c r="O29" s="42">
        <f>COUNTIF(Vertices[Eigenvector Centrality],"&gt;= "&amp;N29)-COUNTIF(Vertices[Eigenvector Centrality],"&gt;="&amp;N30)</f>
        <v>0</v>
      </c>
      <c r="P29" s="41">
        <f t="shared" si="7"/>
        <v>5.196752176470585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5"/>
      <c r="B30" s="125"/>
      <c r="D30" s="34">
        <f t="shared" si="1"/>
        <v>0</v>
      </c>
      <c r="E30" s="3">
        <f>COUNTIF(Vertices[Degree],"&gt;= "&amp;D30)-COUNTIF(Vertices[Degree],"&gt;="&amp;D31)</f>
        <v>0</v>
      </c>
      <c r="F30" s="39">
        <f t="shared" si="2"/>
        <v>1.647058823529412</v>
      </c>
      <c r="G30" s="40">
        <f>COUNTIF(Vertices[In-Degree],"&gt;= "&amp;F30)-COUNTIF(Vertices[In-Degree],"&gt;="&amp;F31)</f>
        <v>0</v>
      </c>
      <c r="H30" s="39">
        <f t="shared" si="3"/>
        <v>21.411764705882366</v>
      </c>
      <c r="I30" s="40">
        <f>COUNTIF(Vertices[Out-Degree],"&gt;= "&amp;H30)-COUNTIF(Vertices[Out-Degree],"&gt;="&amp;H31)</f>
        <v>0</v>
      </c>
      <c r="J30" s="39">
        <f t="shared" si="4"/>
        <v>247.05882352941168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0.09588517647058821</v>
      </c>
      <c r="O30" s="40">
        <f>COUNTIF(Vertices[Eigenvector Centrality],"&gt;= "&amp;N30)-COUNTIF(Vertices[Eigenvector Centrality],"&gt;="&amp;N31)</f>
        <v>0</v>
      </c>
      <c r="P30" s="39">
        <f t="shared" si="7"/>
        <v>5.3681782941176435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0.03982930298719772</v>
      </c>
      <c r="D31" s="34">
        <f t="shared" si="1"/>
        <v>0</v>
      </c>
      <c r="E31" s="3">
        <f>COUNTIF(Vertices[Degree],"&gt;= "&amp;D31)-COUNTIF(Vertices[Degree],"&gt;="&amp;D32)</f>
        <v>0</v>
      </c>
      <c r="F31" s="41">
        <f t="shared" si="2"/>
        <v>1.7058823529411766</v>
      </c>
      <c r="G31" s="42">
        <f>COUNTIF(Vertices[In-Degree],"&gt;= "&amp;F31)-COUNTIF(Vertices[In-Degree],"&gt;="&amp;F32)</f>
        <v>0</v>
      </c>
      <c r="H31" s="41">
        <f t="shared" si="3"/>
        <v>22.176470588235308</v>
      </c>
      <c r="I31" s="42">
        <f>COUNTIF(Vertices[Out-Degree],"&gt;= "&amp;H31)-COUNTIF(Vertices[Out-Degree],"&gt;="&amp;H32)</f>
        <v>0</v>
      </c>
      <c r="J31" s="41">
        <f t="shared" si="4"/>
        <v>255.88235294117638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0.0993096470588235</v>
      </c>
      <c r="O31" s="42">
        <f>COUNTIF(Vertices[Eigenvector Centrality],"&gt;= "&amp;N31)-COUNTIF(Vertices[Eigenvector Centrality],"&gt;="&amp;N32)</f>
        <v>0</v>
      </c>
      <c r="P31" s="41">
        <f t="shared" si="7"/>
        <v>5.539604411764702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752</v>
      </c>
      <c r="B32" s="36">
        <v>0.232733</v>
      </c>
      <c r="D32" s="34">
        <f t="shared" si="1"/>
        <v>0</v>
      </c>
      <c r="E32" s="3">
        <f>COUNTIF(Vertices[Degree],"&gt;= "&amp;D32)-COUNTIF(Vertices[Degree],"&gt;="&amp;D33)</f>
        <v>0</v>
      </c>
      <c r="F32" s="39">
        <f t="shared" si="2"/>
        <v>1.7647058823529413</v>
      </c>
      <c r="G32" s="40">
        <f>COUNTIF(Vertices[In-Degree],"&gt;= "&amp;F32)-COUNTIF(Vertices[In-Degree],"&gt;="&amp;F33)</f>
        <v>0</v>
      </c>
      <c r="H32" s="39">
        <f t="shared" si="3"/>
        <v>22.94117647058825</v>
      </c>
      <c r="I32" s="40">
        <f>COUNTIF(Vertices[Out-Degree],"&gt;= "&amp;H32)-COUNTIF(Vertices[Out-Degree],"&gt;="&amp;H33)</f>
        <v>0</v>
      </c>
      <c r="J32" s="39">
        <f t="shared" si="4"/>
        <v>264.7058823529411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0.1027341176470588</v>
      </c>
      <c r="O32" s="40">
        <f>COUNTIF(Vertices[Eigenvector Centrality],"&gt;= "&amp;N32)-COUNTIF(Vertices[Eigenvector Centrality],"&gt;="&amp;N33)</f>
        <v>0</v>
      </c>
      <c r="P32" s="39">
        <f t="shared" si="7"/>
        <v>5.711030529411761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5"/>
      <c r="B33" s="125"/>
      <c r="D33" s="34">
        <f t="shared" si="1"/>
        <v>0</v>
      </c>
      <c r="E33" s="3">
        <f>COUNTIF(Vertices[Degree],"&gt;= "&amp;D33)-COUNTIF(Vertices[Degree],"&gt;="&amp;D34)</f>
        <v>0</v>
      </c>
      <c r="F33" s="41">
        <f t="shared" si="2"/>
        <v>1.823529411764706</v>
      </c>
      <c r="G33" s="42">
        <f>COUNTIF(Vertices[In-Degree],"&gt;= "&amp;F33)-COUNTIF(Vertices[In-Degree],"&gt;="&amp;F34)</f>
        <v>0</v>
      </c>
      <c r="H33" s="41">
        <f t="shared" si="3"/>
        <v>23.70588235294119</v>
      </c>
      <c r="I33" s="42">
        <f>COUNTIF(Vertices[Out-Degree],"&gt;= "&amp;H33)-COUNTIF(Vertices[Out-Degree],"&gt;="&amp;H34)</f>
        <v>0</v>
      </c>
      <c r="J33" s="41">
        <f t="shared" si="4"/>
        <v>273.5294117647058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0.10615858823529409</v>
      </c>
      <c r="O33" s="42">
        <f>COUNTIF(Vertices[Eigenvector Centrality],"&gt;= "&amp;N33)-COUNTIF(Vertices[Eigenvector Centrality],"&gt;="&amp;N34)</f>
        <v>0</v>
      </c>
      <c r="P33" s="41">
        <f t="shared" si="7"/>
        <v>5.882456647058819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753</v>
      </c>
      <c r="B34" s="36" t="s">
        <v>768</v>
      </c>
      <c r="D34" s="34">
        <f t="shared" si="1"/>
        <v>0</v>
      </c>
      <c r="E34" s="3">
        <f>COUNTIF(Vertices[Degree],"&gt;= "&amp;D34)-COUNTIF(Vertices[Degree],"&gt;="&amp;D35)</f>
        <v>0</v>
      </c>
      <c r="F34" s="39">
        <f t="shared" si="2"/>
        <v>1.8823529411764708</v>
      </c>
      <c r="G34" s="40">
        <f>COUNTIF(Vertices[In-Degree],"&gt;= "&amp;F34)-COUNTIF(Vertices[In-Degree],"&gt;="&amp;F35)</f>
        <v>0</v>
      </c>
      <c r="H34" s="39">
        <f t="shared" si="3"/>
        <v>24.470588235294134</v>
      </c>
      <c r="I34" s="40">
        <f>COUNTIF(Vertices[Out-Degree],"&gt;= "&amp;H34)-COUNTIF(Vertices[Out-Degree],"&gt;="&amp;H35)</f>
        <v>0</v>
      </c>
      <c r="J34" s="39">
        <f t="shared" si="4"/>
        <v>282.3529411764705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0.10958305882352938</v>
      </c>
      <c r="O34" s="40">
        <f>COUNTIF(Vertices[Eigenvector Centrality],"&gt;= "&amp;N34)-COUNTIF(Vertices[Eigenvector Centrality],"&gt;="&amp;N35)</f>
        <v>0</v>
      </c>
      <c r="P34" s="39">
        <f t="shared" si="7"/>
        <v>6.053882764705878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5"/>
      <c r="B35" s="125"/>
      <c r="D35" s="34">
        <f t="shared" si="1"/>
        <v>0</v>
      </c>
      <c r="E35" s="3">
        <f>COUNTIF(Vertices[Degree],"&gt;= "&amp;D35)-COUNTIF(Vertices[Degree],"&gt;="&amp;D36)</f>
        <v>0</v>
      </c>
      <c r="F35" s="41">
        <f t="shared" si="2"/>
        <v>1.9411764705882355</v>
      </c>
      <c r="G35" s="42">
        <f>COUNTIF(Vertices[In-Degree],"&gt;= "&amp;F35)-COUNTIF(Vertices[In-Degree],"&gt;="&amp;F36)</f>
        <v>0</v>
      </c>
      <c r="H35" s="41">
        <f t="shared" si="3"/>
        <v>25.235294117647076</v>
      </c>
      <c r="I35" s="42">
        <f>COUNTIF(Vertices[Out-Degree],"&gt;= "&amp;H35)-COUNTIF(Vertices[Out-Degree],"&gt;="&amp;H36)</f>
        <v>0</v>
      </c>
      <c r="J35" s="41">
        <f t="shared" si="4"/>
        <v>291.1764705882352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0.11300752941176467</v>
      </c>
      <c r="O35" s="42">
        <f>COUNTIF(Vertices[Eigenvector Centrality],"&gt;= "&amp;N35)-COUNTIF(Vertices[Eigenvector Centrality],"&gt;="&amp;N36)</f>
        <v>0</v>
      </c>
      <c r="P35" s="41">
        <f t="shared" si="7"/>
        <v>6.225308882352937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754</v>
      </c>
      <c r="B36" s="36" t="s">
        <v>815</v>
      </c>
      <c r="D36" s="34">
        <f>MAX(Vertices[Degree])</f>
        <v>0</v>
      </c>
      <c r="E36" s="3">
        <f>COUNTIF(Vertices[Degree],"&gt;= "&amp;D36)-COUNTIF(Vertices[Degree],"&gt;="&amp;#REF!)</f>
        <v>0</v>
      </c>
      <c r="F36" s="43">
        <f>MAX(Vertices[In-Degree])</f>
        <v>2</v>
      </c>
      <c r="G36" s="44">
        <f>COUNTIF(Vertices[In-Degree],"&gt;= "&amp;F36)-COUNTIF(Vertices[In-Degree],"&gt;="&amp;#REF!)</f>
        <v>25</v>
      </c>
      <c r="H36" s="43">
        <f>MAX(Vertices[Out-Degree])</f>
        <v>26</v>
      </c>
      <c r="I36" s="44">
        <f>COUNTIF(Vertices[Out-Degree],"&gt;= "&amp;H36)-COUNTIF(Vertices[Out-Degree],"&gt;="&amp;#REF!)</f>
        <v>2</v>
      </c>
      <c r="J36" s="43">
        <f>MAX(Vertices[Betweenness Centrality])</f>
        <v>300</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0.116432</v>
      </c>
      <c r="O36" s="44">
        <f>COUNTIF(Vertices[Eigenvector Centrality],"&gt;= "&amp;N36)-COUNTIF(Vertices[Eigenvector Centrality],"&gt;="&amp;#REF!)</f>
        <v>2</v>
      </c>
      <c r="P36" s="43">
        <f>MAX(Vertices[PageRank])</f>
        <v>6.396735</v>
      </c>
      <c r="Q36" s="44">
        <f>COUNTIF(Vertices[PageRank],"&gt;= "&amp;P36)-COUNTIF(Vertices[PageRank],"&gt;="&amp;#REF!)</f>
        <v>2</v>
      </c>
      <c r="R36" s="43">
        <f>MAX(Vertices[Clustering Coefficient])</f>
        <v>1</v>
      </c>
      <c r="S36" s="47">
        <f>COUNTIF(Vertices[Clustering Coefficient],"&gt;= "&amp;R36)-COUNTIF(Vertices[Clustering Coefficient],"&gt;="&amp;#REF!)</f>
        <v>25</v>
      </c>
      <c r="T36" s="43" t="e">
        <f ca="1">MAX(INDIRECT(DynamicFilterSourceColumnRange))</f>
        <v>#REF!</v>
      </c>
      <c r="U36" s="44" t="e">
        <f ca="1">COUNTIF(INDIRECT(DynamicFilterSourceColumnRange),"&gt;= "&amp;T36)-COUNTIF(INDIRECT(DynamicFilterSourceColumnRange),"&gt;="&amp;#REF!)</f>
        <v>#REF!</v>
      </c>
    </row>
    <row r="37" spans="1:2" ht="15">
      <c r="A37" s="36" t="s">
        <v>755</v>
      </c>
      <c r="B37" s="36" t="s">
        <v>816</v>
      </c>
    </row>
    <row r="38" spans="1:2" ht="15">
      <c r="A38" s="125"/>
      <c r="B38" s="125"/>
    </row>
    <row r="39" spans="1:2" ht="15">
      <c r="A39" s="36" t="s">
        <v>756</v>
      </c>
      <c r="B39" s="36" t="s">
        <v>810</v>
      </c>
    </row>
    <row r="40" spans="1:2" ht="15">
      <c r="A40" s="36" t="s">
        <v>757</v>
      </c>
      <c r="B40" s="36" t="s">
        <v>811</v>
      </c>
    </row>
    <row r="41" spans="1:2" ht="409.5">
      <c r="A41" s="36" t="s">
        <v>758</v>
      </c>
      <c r="B41" s="68" t="s">
        <v>812</v>
      </c>
    </row>
    <row r="42" spans="1:2" ht="15">
      <c r="A42" s="36" t="s">
        <v>759</v>
      </c>
      <c r="B42" s="36" t="s">
        <v>813</v>
      </c>
    </row>
    <row r="43" spans="1:2" ht="15">
      <c r="A43" s="36" t="s">
        <v>760</v>
      </c>
      <c r="B43" s="36" t="s">
        <v>814</v>
      </c>
    </row>
    <row r="44" spans="1:2" ht="15">
      <c r="A44" s="36" t="s">
        <v>761</v>
      </c>
      <c r="B44" s="36" t="s">
        <v>526</v>
      </c>
    </row>
    <row r="45" spans="1:2" ht="15">
      <c r="A45" s="36" t="s">
        <v>762</v>
      </c>
      <c r="B45" s="36" t="s">
        <v>526</v>
      </c>
    </row>
    <row r="46" spans="1:2" ht="15">
      <c r="A46" s="36" t="s">
        <v>763</v>
      </c>
      <c r="B46" s="36" t="s">
        <v>526</v>
      </c>
    </row>
    <row r="47" spans="1:2" ht="15">
      <c r="A47" s="36" t="s">
        <v>764</v>
      </c>
      <c r="B47" s="36"/>
    </row>
    <row r="48" spans="1:2" ht="15">
      <c r="A48" s="36" t="s">
        <v>21</v>
      </c>
      <c r="B48" s="36"/>
    </row>
    <row r="49" spans="1:2" ht="15">
      <c r="A49" s="36" t="s">
        <v>765</v>
      </c>
      <c r="B49" s="36" t="s">
        <v>328</v>
      </c>
    </row>
    <row r="50" spans="1:2" ht="15">
      <c r="A50" s="36" t="s">
        <v>766</v>
      </c>
      <c r="B50" s="36"/>
    </row>
    <row r="51" spans="1:2" ht="15">
      <c r="A51" s="36" t="s">
        <v>767</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1.5789473684210527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26</v>
      </c>
    </row>
    <row r="97" spans="1:2" ht="15">
      <c r="A97" s="35" t="s">
        <v>96</v>
      </c>
      <c r="B97" s="49">
        <f>_xlfn.IFERROR(AVERAGE(Vertices[Out-Degree]),NoMetricMessage)</f>
        <v>1.5789473684210527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300</v>
      </c>
    </row>
    <row r="111" spans="1:2" ht="15">
      <c r="A111" s="35" t="s">
        <v>102</v>
      </c>
      <c r="B111" s="49">
        <f>_xlfn.IFERROR(AVERAGE(Vertices[Betweenness Centrality]),NoMetricMessage)</f>
        <v>15.842105263157896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0.15114710526315792</v>
      </c>
    </row>
    <row r="126" spans="1:2" ht="15">
      <c r="A126" s="35" t="s">
        <v>109</v>
      </c>
      <c r="B126" s="49">
        <f>_xlfn.IFERROR(MEDIAN(Vertices[Closeness Centrality]),NoMetricMessage)</f>
        <v>0.02</v>
      </c>
    </row>
    <row r="137" spans="1:2" ht="15">
      <c r="A137" s="35" t="s">
        <v>112</v>
      </c>
      <c r="B137" s="49">
        <f>IF(COUNT(Vertices[Eigenvector Centrality])&gt;0,N2,NoMetricMessage)</f>
        <v>0</v>
      </c>
    </row>
    <row r="138" spans="1:2" ht="15">
      <c r="A138" s="35" t="s">
        <v>113</v>
      </c>
      <c r="B138" s="49">
        <f>IF(COUNT(Vertices[Eigenvector Centrality])&gt;0,N36,NoMetricMessage)</f>
        <v>0.116432</v>
      </c>
    </row>
    <row r="139" spans="1:2" ht="15">
      <c r="A139" s="35" t="s">
        <v>114</v>
      </c>
      <c r="B139" s="49">
        <f>_xlfn.IFERROR(AVERAGE(Vertices[Eigenvector Centrality]),NoMetricMessage)</f>
        <v>0.026315499999999985</v>
      </c>
    </row>
    <row r="140" spans="1:2" ht="15">
      <c r="A140" s="35" t="s">
        <v>115</v>
      </c>
      <c r="B140" s="49">
        <f>_xlfn.IFERROR(MEDIAN(Vertices[Eigenvector Centrality]),NoMetricMessage)</f>
        <v>0.030685</v>
      </c>
    </row>
    <row r="151" spans="1:2" ht="15">
      <c r="A151" s="35" t="s">
        <v>140</v>
      </c>
      <c r="B151" s="49">
        <f>IF(COUNT(Vertices[PageRank])&gt;0,P2,NoMetricMessage)</f>
        <v>0.568247</v>
      </c>
    </row>
    <row r="152" spans="1:2" ht="15">
      <c r="A152" s="35" t="s">
        <v>141</v>
      </c>
      <c r="B152" s="49">
        <f>IF(COUNT(Vertices[PageRank])&gt;0,P36,NoMetricMessage)</f>
        <v>6.396735</v>
      </c>
    </row>
    <row r="153" spans="1:2" ht="15">
      <c r="A153" s="35" t="s">
        <v>142</v>
      </c>
      <c r="B153" s="49">
        <f>_xlfn.IFERROR(AVERAGE(Vertices[PageRank]),NoMetricMessage)</f>
        <v>0.9999868947368415</v>
      </c>
    </row>
    <row r="154" spans="1:2" ht="15">
      <c r="A154" s="35" t="s">
        <v>143</v>
      </c>
      <c r="B154" s="49">
        <f>_xlfn.IFERROR(MEDIAN(Vertices[PageRank]),NoMetricMessage)</f>
        <v>0.568247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0.659919028340081</v>
      </c>
    </row>
    <row r="168" spans="1:2" ht="15">
      <c r="A168" s="35" t="s">
        <v>121</v>
      </c>
      <c r="B168"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524</v>
      </c>
    </row>
    <row r="6" spans="1:18" ht="409.5">
      <c r="A6">
        <v>0</v>
      </c>
      <c r="B6" s="1" t="s">
        <v>136</v>
      </c>
      <c r="C6">
        <v>1</v>
      </c>
      <c r="D6" t="s">
        <v>59</v>
      </c>
      <c r="E6" t="s">
        <v>59</v>
      </c>
      <c r="F6">
        <v>0</v>
      </c>
      <c r="H6" t="s">
        <v>71</v>
      </c>
      <c r="J6" t="s">
        <v>173</v>
      </c>
      <c r="K6" s="13" t="s">
        <v>525</v>
      </c>
      <c r="R6" t="s">
        <v>129</v>
      </c>
    </row>
    <row r="7" spans="1:11" ht="409.5">
      <c r="A7">
        <v>2</v>
      </c>
      <c r="B7">
        <v>1</v>
      </c>
      <c r="C7">
        <v>0</v>
      </c>
      <c r="D7" t="s">
        <v>60</v>
      </c>
      <c r="E7" t="s">
        <v>60</v>
      </c>
      <c r="F7">
        <v>2</v>
      </c>
      <c r="H7" t="s">
        <v>72</v>
      </c>
      <c r="J7" t="s">
        <v>174</v>
      </c>
      <c r="K7" s="13" t="s">
        <v>794</v>
      </c>
    </row>
    <row r="8" spans="1:11" ht="409.5">
      <c r="A8"/>
      <c r="B8">
        <v>2</v>
      </c>
      <c r="C8">
        <v>2</v>
      </c>
      <c r="D8" t="s">
        <v>61</v>
      </c>
      <c r="E8" t="s">
        <v>61</v>
      </c>
      <c r="H8" t="s">
        <v>73</v>
      </c>
      <c r="J8" t="s">
        <v>175</v>
      </c>
      <c r="K8" s="13" t="s">
        <v>795</v>
      </c>
    </row>
    <row r="9" spans="1:11" ht="409.5">
      <c r="A9"/>
      <c r="B9">
        <v>3</v>
      </c>
      <c r="C9">
        <v>4</v>
      </c>
      <c r="D9" t="s">
        <v>62</v>
      </c>
      <c r="E9" t="s">
        <v>62</v>
      </c>
      <c r="H9" t="s">
        <v>74</v>
      </c>
      <c r="J9" t="s">
        <v>176</v>
      </c>
      <c r="K9" s="13" t="s">
        <v>796</v>
      </c>
    </row>
    <row r="10" spans="1:11" ht="15">
      <c r="A10"/>
      <c r="B10">
        <v>4</v>
      </c>
      <c r="D10" t="s">
        <v>63</v>
      </c>
      <c r="E10" t="s">
        <v>63</v>
      </c>
      <c r="H10" t="s">
        <v>75</v>
      </c>
      <c r="J10" t="s">
        <v>177</v>
      </c>
      <c r="K10" t="s">
        <v>797</v>
      </c>
    </row>
    <row r="11" spans="1:11" ht="15">
      <c r="A11"/>
      <c r="B11">
        <v>5</v>
      </c>
      <c r="D11" t="s">
        <v>46</v>
      </c>
      <c r="E11">
        <v>1</v>
      </c>
      <c r="H11" t="s">
        <v>76</v>
      </c>
      <c r="J11" t="s">
        <v>178</v>
      </c>
      <c r="K11" t="s">
        <v>798</v>
      </c>
    </row>
    <row r="12" spans="1:11" ht="15">
      <c r="A12"/>
      <c r="B12"/>
      <c r="D12" t="s">
        <v>64</v>
      </c>
      <c r="E12">
        <v>2</v>
      </c>
      <c r="H12">
        <v>0</v>
      </c>
      <c r="J12" t="s">
        <v>179</v>
      </c>
      <c r="K12" t="s">
        <v>799</v>
      </c>
    </row>
    <row r="13" spans="1:11" ht="15">
      <c r="A13"/>
      <c r="B13"/>
      <c r="D13">
        <v>1</v>
      </c>
      <c r="E13">
        <v>3</v>
      </c>
      <c r="H13">
        <v>1</v>
      </c>
      <c r="J13" t="s">
        <v>180</v>
      </c>
      <c r="K13" t="s">
        <v>800</v>
      </c>
    </row>
    <row r="14" spans="4:11" ht="15">
      <c r="D14">
        <v>2</v>
      </c>
      <c r="E14">
        <v>4</v>
      </c>
      <c r="H14">
        <v>2</v>
      </c>
      <c r="J14" t="s">
        <v>181</v>
      </c>
      <c r="K14" t="s">
        <v>801</v>
      </c>
    </row>
    <row r="15" spans="4:11" ht="15">
      <c r="D15">
        <v>3</v>
      </c>
      <c r="E15">
        <v>5</v>
      </c>
      <c r="H15">
        <v>3</v>
      </c>
      <c r="J15" t="s">
        <v>182</v>
      </c>
      <c r="K15" t="s">
        <v>802</v>
      </c>
    </row>
    <row r="16" spans="4:11" ht="15">
      <c r="D16">
        <v>4</v>
      </c>
      <c r="E16">
        <v>6</v>
      </c>
      <c r="H16">
        <v>4</v>
      </c>
      <c r="J16" t="s">
        <v>183</v>
      </c>
      <c r="K16" t="s">
        <v>803</v>
      </c>
    </row>
    <row r="17" spans="4:11" ht="15">
      <c r="D17">
        <v>5</v>
      </c>
      <c r="E17">
        <v>7</v>
      </c>
      <c r="H17">
        <v>5</v>
      </c>
      <c r="J17" t="s">
        <v>184</v>
      </c>
      <c r="K17" t="s">
        <v>804</v>
      </c>
    </row>
    <row r="18" spans="4:11" ht="15">
      <c r="D18">
        <v>6</v>
      </c>
      <c r="E18">
        <v>8</v>
      </c>
      <c r="H18">
        <v>6</v>
      </c>
      <c r="J18" t="s">
        <v>185</v>
      </c>
      <c r="K18" t="s">
        <v>805</v>
      </c>
    </row>
    <row r="19" spans="4:11" ht="15">
      <c r="D19">
        <v>7</v>
      </c>
      <c r="E19">
        <v>9</v>
      </c>
      <c r="H19">
        <v>7</v>
      </c>
      <c r="J19" t="s">
        <v>186</v>
      </c>
      <c r="K19" t="s">
        <v>806</v>
      </c>
    </row>
    <row r="20" spans="4:11" ht="409.5">
      <c r="D20">
        <v>8</v>
      </c>
      <c r="H20">
        <v>8</v>
      </c>
      <c r="J20" t="s">
        <v>187</v>
      </c>
      <c r="K20" s="13" t="s">
        <v>807</v>
      </c>
    </row>
    <row r="21" spans="4:11" ht="409.5">
      <c r="D21">
        <v>9</v>
      </c>
      <c r="H21">
        <v>9</v>
      </c>
      <c r="J21" t="s">
        <v>188</v>
      </c>
      <c r="K21" s="13" t="s">
        <v>808</v>
      </c>
    </row>
    <row r="22" spans="4:11" ht="409.5">
      <c r="D22">
        <v>10</v>
      </c>
      <c r="J22" t="s">
        <v>189</v>
      </c>
      <c r="K22" s="13" t="s">
        <v>809</v>
      </c>
    </row>
    <row r="23" spans="4:11" ht="15">
      <c r="D23">
        <v>11</v>
      </c>
      <c r="J23" t="s">
        <v>190</v>
      </c>
      <c r="K23">
        <v>18</v>
      </c>
    </row>
    <row r="24" spans="10:11" ht="15">
      <c r="J24" t="s">
        <v>192</v>
      </c>
      <c r="K24" t="s">
        <v>791</v>
      </c>
    </row>
    <row r="25" spans="10:11" ht="409.5">
      <c r="J25" t="s">
        <v>193</v>
      </c>
      <c r="K25" s="13" t="s">
        <v>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D0DAA-A9BA-4288-A691-89DD1AC29E3E}">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541</v>
      </c>
      <c r="B1" s="13" t="s">
        <v>544</v>
      </c>
      <c r="C1" s="82" t="s">
        <v>545</v>
      </c>
      <c r="D1" s="82" t="s">
        <v>547</v>
      </c>
      <c r="E1" s="13" t="s">
        <v>546</v>
      </c>
      <c r="F1" s="13" t="s">
        <v>549</v>
      </c>
      <c r="G1" s="82" t="s">
        <v>548</v>
      </c>
      <c r="H1" s="82" t="s">
        <v>551</v>
      </c>
      <c r="I1" s="82" t="s">
        <v>550</v>
      </c>
      <c r="J1" s="82" t="s">
        <v>553</v>
      </c>
      <c r="K1" s="82" t="s">
        <v>552</v>
      </c>
      <c r="L1" s="82" t="s">
        <v>554</v>
      </c>
    </row>
    <row r="2" spans="1:12" ht="15">
      <c r="A2" s="88" t="s">
        <v>542</v>
      </c>
      <c r="B2" s="82">
        <v>1</v>
      </c>
      <c r="C2" s="82"/>
      <c r="D2" s="82"/>
      <c r="E2" s="88" t="s">
        <v>542</v>
      </c>
      <c r="F2" s="82">
        <v>1</v>
      </c>
      <c r="G2" s="82"/>
      <c r="H2" s="82"/>
      <c r="I2" s="82"/>
      <c r="J2" s="82"/>
      <c r="K2" s="82"/>
      <c r="L2" s="82"/>
    </row>
    <row r="3" spans="1:12" ht="15">
      <c r="A3" s="86" t="s">
        <v>543</v>
      </c>
      <c r="B3" s="82">
        <v>1</v>
      </c>
      <c r="C3" s="82"/>
      <c r="D3" s="82"/>
      <c r="E3" s="88" t="s">
        <v>543</v>
      </c>
      <c r="F3" s="82">
        <v>1</v>
      </c>
      <c r="G3" s="82"/>
      <c r="H3" s="82"/>
      <c r="I3" s="82"/>
      <c r="J3" s="82"/>
      <c r="K3" s="82"/>
      <c r="L3" s="82"/>
    </row>
    <row r="6" spans="1:12" ht="15" customHeight="1">
      <c r="A6" s="13" t="s">
        <v>557</v>
      </c>
      <c r="B6" s="13" t="s">
        <v>544</v>
      </c>
      <c r="C6" s="82" t="s">
        <v>558</v>
      </c>
      <c r="D6" s="82" t="s">
        <v>547</v>
      </c>
      <c r="E6" s="13" t="s">
        <v>559</v>
      </c>
      <c r="F6" s="13" t="s">
        <v>549</v>
      </c>
      <c r="G6" s="82" t="s">
        <v>560</v>
      </c>
      <c r="H6" s="82" t="s">
        <v>551</v>
      </c>
      <c r="I6" s="82" t="s">
        <v>561</v>
      </c>
      <c r="J6" s="82" t="s">
        <v>553</v>
      </c>
      <c r="K6" s="82" t="s">
        <v>562</v>
      </c>
      <c r="L6" s="82" t="s">
        <v>554</v>
      </c>
    </row>
    <row r="7" spans="1:12" ht="15">
      <c r="A7" s="82" t="s">
        <v>285</v>
      </c>
      <c r="B7" s="82">
        <v>2</v>
      </c>
      <c r="C7" s="82"/>
      <c r="D7" s="82"/>
      <c r="E7" s="82" t="s">
        <v>285</v>
      </c>
      <c r="F7" s="82">
        <v>2</v>
      </c>
      <c r="G7" s="82"/>
      <c r="H7" s="82"/>
      <c r="I7" s="82"/>
      <c r="J7" s="82"/>
      <c r="K7" s="82"/>
      <c r="L7" s="82"/>
    </row>
    <row r="10" spans="1:12" ht="15" customHeight="1">
      <c r="A10" s="13" t="s">
        <v>564</v>
      </c>
      <c r="B10" s="13" t="s">
        <v>544</v>
      </c>
      <c r="C10" s="82" t="s">
        <v>575</v>
      </c>
      <c r="D10" s="82" t="s">
        <v>547</v>
      </c>
      <c r="E10" s="13" t="s">
        <v>576</v>
      </c>
      <c r="F10" s="13" t="s">
        <v>549</v>
      </c>
      <c r="G10" s="13" t="s">
        <v>577</v>
      </c>
      <c r="H10" s="13" t="s">
        <v>551</v>
      </c>
      <c r="I10" s="82" t="s">
        <v>578</v>
      </c>
      <c r="J10" s="82" t="s">
        <v>553</v>
      </c>
      <c r="K10" s="82" t="s">
        <v>579</v>
      </c>
      <c r="L10" s="82" t="s">
        <v>554</v>
      </c>
    </row>
    <row r="11" spans="1:12" ht="15">
      <c r="A11" s="82" t="s">
        <v>565</v>
      </c>
      <c r="B11" s="82">
        <v>1</v>
      </c>
      <c r="C11" s="82"/>
      <c r="D11" s="82"/>
      <c r="E11" s="82" t="s">
        <v>573</v>
      </c>
      <c r="F11" s="82">
        <v>1</v>
      </c>
      <c r="G11" s="82" t="s">
        <v>565</v>
      </c>
      <c r="H11" s="82">
        <v>1</v>
      </c>
      <c r="I11" s="82"/>
      <c r="J11" s="82"/>
      <c r="K11" s="82"/>
      <c r="L11" s="82"/>
    </row>
    <row r="12" spans="1:12" ht="15">
      <c r="A12" s="83" t="s">
        <v>566</v>
      </c>
      <c r="B12" s="82">
        <v>1</v>
      </c>
      <c r="C12" s="82"/>
      <c r="D12" s="82"/>
      <c r="E12" s="82" t="s">
        <v>574</v>
      </c>
      <c r="F12" s="82">
        <v>1</v>
      </c>
      <c r="G12" s="82" t="s">
        <v>566</v>
      </c>
      <c r="H12" s="82">
        <v>1</v>
      </c>
      <c r="I12" s="82"/>
      <c r="J12" s="82"/>
      <c r="K12" s="82"/>
      <c r="L12" s="82"/>
    </row>
    <row r="13" spans="1:12" ht="15">
      <c r="A13" s="83" t="s">
        <v>567</v>
      </c>
      <c r="B13" s="82">
        <v>1</v>
      </c>
      <c r="C13" s="82"/>
      <c r="D13" s="82"/>
      <c r="E13" s="82"/>
      <c r="F13" s="82"/>
      <c r="G13" s="82" t="s">
        <v>567</v>
      </c>
      <c r="H13" s="82">
        <v>1</v>
      </c>
      <c r="I13" s="82"/>
      <c r="J13" s="82"/>
      <c r="K13" s="82"/>
      <c r="L13" s="82"/>
    </row>
    <row r="14" spans="1:12" ht="15">
      <c r="A14" s="83" t="s">
        <v>568</v>
      </c>
      <c r="B14" s="82">
        <v>1</v>
      </c>
      <c r="C14" s="82"/>
      <c r="D14" s="82"/>
      <c r="E14" s="82"/>
      <c r="F14" s="82"/>
      <c r="G14" s="82" t="s">
        <v>568</v>
      </c>
      <c r="H14" s="82">
        <v>1</v>
      </c>
      <c r="I14" s="82"/>
      <c r="J14" s="82"/>
      <c r="K14" s="82"/>
      <c r="L14" s="82"/>
    </row>
    <row r="15" spans="1:12" ht="15">
      <c r="A15" s="83" t="s">
        <v>569</v>
      </c>
      <c r="B15" s="82">
        <v>1</v>
      </c>
      <c r="C15" s="82"/>
      <c r="D15" s="82"/>
      <c r="E15" s="82"/>
      <c r="F15" s="82"/>
      <c r="G15" s="82" t="s">
        <v>569</v>
      </c>
      <c r="H15" s="82">
        <v>1</v>
      </c>
      <c r="I15" s="82"/>
      <c r="J15" s="82"/>
      <c r="K15" s="82"/>
      <c r="L15" s="82"/>
    </row>
    <row r="16" spans="1:12" ht="15">
      <c r="A16" s="83" t="s">
        <v>570</v>
      </c>
      <c r="B16" s="82">
        <v>1</v>
      </c>
      <c r="C16" s="82"/>
      <c r="D16" s="82"/>
      <c r="E16" s="82"/>
      <c r="F16" s="82"/>
      <c r="G16" s="82" t="s">
        <v>570</v>
      </c>
      <c r="H16" s="82">
        <v>1</v>
      </c>
      <c r="I16" s="82"/>
      <c r="J16" s="82"/>
      <c r="K16" s="82"/>
      <c r="L16" s="82"/>
    </row>
    <row r="17" spans="1:12" ht="15">
      <c r="A17" s="83" t="s">
        <v>571</v>
      </c>
      <c r="B17" s="82">
        <v>1</v>
      </c>
      <c r="C17" s="82"/>
      <c r="D17" s="82"/>
      <c r="E17" s="82"/>
      <c r="F17" s="82"/>
      <c r="G17" s="82" t="s">
        <v>571</v>
      </c>
      <c r="H17" s="82">
        <v>1</v>
      </c>
      <c r="I17" s="82"/>
      <c r="J17" s="82"/>
      <c r="K17" s="82"/>
      <c r="L17" s="82"/>
    </row>
    <row r="18" spans="1:12" ht="15">
      <c r="A18" s="83" t="s">
        <v>572</v>
      </c>
      <c r="B18" s="82">
        <v>1</v>
      </c>
      <c r="C18" s="82"/>
      <c r="D18" s="82"/>
      <c r="E18" s="82"/>
      <c r="F18" s="82"/>
      <c r="G18" s="82" t="s">
        <v>572</v>
      </c>
      <c r="H18" s="82">
        <v>1</v>
      </c>
      <c r="I18" s="82"/>
      <c r="J18" s="82"/>
      <c r="K18" s="82"/>
      <c r="L18" s="82"/>
    </row>
    <row r="19" spans="1:12" ht="15">
      <c r="A19" s="83" t="s">
        <v>573</v>
      </c>
      <c r="B19" s="82">
        <v>1</v>
      </c>
      <c r="C19" s="82"/>
      <c r="D19" s="82"/>
      <c r="E19" s="82"/>
      <c r="F19" s="82"/>
      <c r="G19" s="82"/>
      <c r="H19" s="82"/>
      <c r="I19" s="82"/>
      <c r="J19" s="82"/>
      <c r="K19" s="82"/>
      <c r="L19" s="82"/>
    </row>
    <row r="20" spans="1:12" ht="15">
      <c r="A20" s="83" t="s">
        <v>574</v>
      </c>
      <c r="B20" s="82">
        <v>1</v>
      </c>
      <c r="C20" s="82"/>
      <c r="D20" s="82"/>
      <c r="E20" s="82"/>
      <c r="F20" s="82"/>
      <c r="G20" s="82"/>
      <c r="H20" s="82"/>
      <c r="I20" s="82"/>
      <c r="J20" s="82"/>
      <c r="K20" s="82"/>
      <c r="L20" s="82"/>
    </row>
    <row r="23" spans="1:12" ht="15" customHeight="1">
      <c r="A23" s="13" t="s">
        <v>581</v>
      </c>
      <c r="B23" s="13" t="s">
        <v>544</v>
      </c>
      <c r="C23" s="13" t="s">
        <v>591</v>
      </c>
      <c r="D23" s="13" t="s">
        <v>547</v>
      </c>
      <c r="E23" s="13" t="s">
        <v>592</v>
      </c>
      <c r="F23" s="13" t="s">
        <v>549</v>
      </c>
      <c r="G23" s="13" t="s">
        <v>594</v>
      </c>
      <c r="H23" s="13" t="s">
        <v>551</v>
      </c>
      <c r="I23" s="82" t="s">
        <v>596</v>
      </c>
      <c r="J23" s="82" t="s">
        <v>553</v>
      </c>
      <c r="K23" s="13" t="s">
        <v>597</v>
      </c>
      <c r="L23" s="13" t="s">
        <v>554</v>
      </c>
    </row>
    <row r="24" spans="1:12" ht="15">
      <c r="A24" s="91" t="s">
        <v>582</v>
      </c>
      <c r="B24" s="91">
        <v>15</v>
      </c>
      <c r="C24" s="91" t="s">
        <v>583</v>
      </c>
      <c r="D24" s="91">
        <v>6</v>
      </c>
      <c r="E24" s="91" t="s">
        <v>582</v>
      </c>
      <c r="F24" s="91">
        <v>6</v>
      </c>
      <c r="G24" s="91" t="s">
        <v>595</v>
      </c>
      <c r="H24" s="91">
        <v>2</v>
      </c>
      <c r="I24" s="91"/>
      <c r="J24" s="91"/>
      <c r="K24" s="91" t="s">
        <v>598</v>
      </c>
      <c r="L24" s="91">
        <v>2</v>
      </c>
    </row>
    <row r="25" spans="1:12" ht="15">
      <c r="A25" s="87" t="s">
        <v>567</v>
      </c>
      <c r="B25" s="91">
        <v>9</v>
      </c>
      <c r="C25" s="91" t="s">
        <v>582</v>
      </c>
      <c r="D25" s="91">
        <v>6</v>
      </c>
      <c r="E25" s="91" t="s">
        <v>567</v>
      </c>
      <c r="F25" s="91">
        <v>5</v>
      </c>
      <c r="G25" s="91" t="s">
        <v>590</v>
      </c>
      <c r="H25" s="91">
        <v>2</v>
      </c>
      <c r="I25" s="91"/>
      <c r="J25" s="91"/>
      <c r="K25" s="91"/>
      <c r="L25" s="91"/>
    </row>
    <row r="26" spans="1:12" ht="15">
      <c r="A26" s="87" t="s">
        <v>583</v>
      </c>
      <c r="B26" s="91">
        <v>6</v>
      </c>
      <c r="C26" s="91" t="s">
        <v>584</v>
      </c>
      <c r="D26" s="91">
        <v>4</v>
      </c>
      <c r="E26" s="91" t="s">
        <v>593</v>
      </c>
      <c r="F26" s="91">
        <v>2</v>
      </c>
      <c r="G26" s="91"/>
      <c r="H26" s="91"/>
      <c r="I26" s="91"/>
      <c r="J26" s="91"/>
      <c r="K26" s="91"/>
      <c r="L26" s="91"/>
    </row>
    <row r="27" spans="1:12" ht="15">
      <c r="A27" s="87" t="s">
        <v>584</v>
      </c>
      <c r="B27" s="91">
        <v>4</v>
      </c>
      <c r="C27" s="91" t="s">
        <v>585</v>
      </c>
      <c r="D27" s="91">
        <v>4</v>
      </c>
      <c r="E27" s="91"/>
      <c r="F27" s="91"/>
      <c r="G27" s="91"/>
      <c r="H27" s="91"/>
      <c r="I27" s="91"/>
      <c r="J27" s="91"/>
      <c r="K27" s="91"/>
      <c r="L27" s="91"/>
    </row>
    <row r="28" spans="1:12" ht="15">
      <c r="A28" s="87" t="s">
        <v>585</v>
      </c>
      <c r="B28" s="91">
        <v>4</v>
      </c>
      <c r="C28" s="91" t="s">
        <v>586</v>
      </c>
      <c r="D28" s="91">
        <v>4</v>
      </c>
      <c r="E28" s="91"/>
      <c r="F28" s="91"/>
      <c r="G28" s="91"/>
      <c r="H28" s="91"/>
      <c r="I28" s="91"/>
      <c r="J28" s="91"/>
      <c r="K28" s="91"/>
      <c r="L28" s="91"/>
    </row>
    <row r="29" spans="1:12" ht="15">
      <c r="A29" s="87" t="s">
        <v>586</v>
      </c>
      <c r="B29" s="91">
        <v>4</v>
      </c>
      <c r="C29" s="91" t="s">
        <v>587</v>
      </c>
      <c r="D29" s="91">
        <v>4</v>
      </c>
      <c r="E29" s="91"/>
      <c r="F29" s="91"/>
      <c r="G29" s="91"/>
      <c r="H29" s="91"/>
      <c r="I29" s="91"/>
      <c r="J29" s="91"/>
      <c r="K29" s="91"/>
      <c r="L29" s="91"/>
    </row>
    <row r="30" spans="1:12" ht="15">
      <c r="A30" s="87" t="s">
        <v>587</v>
      </c>
      <c r="B30" s="91">
        <v>4</v>
      </c>
      <c r="C30" s="91" t="s">
        <v>588</v>
      </c>
      <c r="D30" s="91">
        <v>4</v>
      </c>
      <c r="E30" s="91"/>
      <c r="F30" s="91"/>
      <c r="G30" s="91"/>
      <c r="H30" s="91"/>
      <c r="I30" s="91"/>
      <c r="J30" s="91"/>
      <c r="K30" s="91"/>
      <c r="L30" s="91"/>
    </row>
    <row r="31" spans="1:12" ht="15">
      <c r="A31" s="87" t="s">
        <v>588</v>
      </c>
      <c r="B31" s="91">
        <v>4</v>
      </c>
      <c r="C31" s="91" t="s">
        <v>589</v>
      </c>
      <c r="D31" s="91">
        <v>4</v>
      </c>
      <c r="E31" s="91"/>
      <c r="F31" s="91"/>
      <c r="G31" s="91"/>
      <c r="H31" s="91"/>
      <c r="I31" s="91"/>
      <c r="J31" s="91"/>
      <c r="K31" s="91"/>
      <c r="L31" s="91"/>
    </row>
    <row r="32" spans="1:12" ht="15">
      <c r="A32" s="87" t="s">
        <v>589</v>
      </c>
      <c r="B32" s="91">
        <v>4</v>
      </c>
      <c r="C32" s="91" t="s">
        <v>268</v>
      </c>
      <c r="D32" s="91">
        <v>2</v>
      </c>
      <c r="E32" s="91"/>
      <c r="F32" s="91"/>
      <c r="G32" s="91"/>
      <c r="H32" s="91"/>
      <c r="I32" s="91"/>
      <c r="J32" s="91"/>
      <c r="K32" s="91"/>
      <c r="L32" s="91"/>
    </row>
    <row r="33" spans="1:12" ht="15">
      <c r="A33" s="87" t="s">
        <v>590</v>
      </c>
      <c r="B33" s="91">
        <v>3</v>
      </c>
      <c r="C33" s="91" t="s">
        <v>267</v>
      </c>
      <c r="D33" s="91">
        <v>2</v>
      </c>
      <c r="E33" s="91"/>
      <c r="F33" s="91"/>
      <c r="G33" s="91"/>
      <c r="H33" s="91"/>
      <c r="I33" s="91"/>
      <c r="J33" s="91"/>
      <c r="K33" s="91"/>
      <c r="L33" s="91"/>
    </row>
    <row r="36" spans="1:12" ht="15" customHeight="1">
      <c r="A36" s="13" t="s">
        <v>603</v>
      </c>
      <c r="B36" s="13" t="s">
        <v>544</v>
      </c>
      <c r="C36" s="13" t="s">
        <v>614</v>
      </c>
      <c r="D36" s="13" t="s">
        <v>547</v>
      </c>
      <c r="E36" s="13" t="s">
        <v>616</v>
      </c>
      <c r="F36" s="13" t="s">
        <v>549</v>
      </c>
      <c r="G36" s="82" t="s">
        <v>617</v>
      </c>
      <c r="H36" s="82" t="s">
        <v>551</v>
      </c>
      <c r="I36" s="82" t="s">
        <v>618</v>
      </c>
      <c r="J36" s="82" t="s">
        <v>553</v>
      </c>
      <c r="K36" s="82" t="s">
        <v>619</v>
      </c>
      <c r="L36" s="82" t="s">
        <v>554</v>
      </c>
    </row>
    <row r="37" spans="1:12" ht="15">
      <c r="A37" s="91" t="s">
        <v>604</v>
      </c>
      <c r="B37" s="91">
        <v>5</v>
      </c>
      <c r="C37" s="91" t="s">
        <v>605</v>
      </c>
      <c r="D37" s="91">
        <v>2</v>
      </c>
      <c r="E37" s="91" t="s">
        <v>604</v>
      </c>
      <c r="F37" s="91">
        <v>3</v>
      </c>
      <c r="G37" s="91"/>
      <c r="H37" s="91"/>
      <c r="I37" s="91"/>
      <c r="J37" s="91"/>
      <c r="K37" s="91"/>
      <c r="L37" s="91"/>
    </row>
    <row r="38" spans="1:12" ht="15">
      <c r="A38" s="87" t="s">
        <v>605</v>
      </c>
      <c r="B38" s="91">
        <v>2</v>
      </c>
      <c r="C38" s="91" t="s">
        <v>606</v>
      </c>
      <c r="D38" s="91">
        <v>2</v>
      </c>
      <c r="E38" s="91"/>
      <c r="F38" s="91"/>
      <c r="G38" s="91"/>
      <c r="H38" s="91"/>
      <c r="I38" s="91"/>
      <c r="J38" s="91"/>
      <c r="K38" s="91"/>
      <c r="L38" s="91"/>
    </row>
    <row r="39" spans="1:12" ht="15">
      <c r="A39" s="87" t="s">
        <v>606</v>
      </c>
      <c r="B39" s="91">
        <v>2</v>
      </c>
      <c r="C39" s="91" t="s">
        <v>607</v>
      </c>
      <c r="D39" s="91">
        <v>2</v>
      </c>
      <c r="E39" s="91"/>
      <c r="F39" s="91"/>
      <c r="G39" s="91"/>
      <c r="H39" s="91"/>
      <c r="I39" s="91"/>
      <c r="J39" s="91"/>
      <c r="K39" s="91"/>
      <c r="L39" s="91"/>
    </row>
    <row r="40" spans="1:12" ht="15">
      <c r="A40" s="87" t="s">
        <v>607</v>
      </c>
      <c r="B40" s="91">
        <v>2</v>
      </c>
      <c r="C40" s="91" t="s">
        <v>608</v>
      </c>
      <c r="D40" s="91">
        <v>2</v>
      </c>
      <c r="E40" s="91"/>
      <c r="F40" s="91"/>
      <c r="G40" s="91"/>
      <c r="H40" s="91"/>
      <c r="I40" s="91"/>
      <c r="J40" s="91"/>
      <c r="K40" s="91"/>
      <c r="L40" s="91"/>
    </row>
    <row r="41" spans="1:12" ht="15">
      <c r="A41" s="87" t="s">
        <v>608</v>
      </c>
      <c r="B41" s="91">
        <v>2</v>
      </c>
      <c r="C41" s="91" t="s">
        <v>609</v>
      </c>
      <c r="D41" s="91">
        <v>2</v>
      </c>
      <c r="E41" s="91"/>
      <c r="F41" s="91"/>
      <c r="G41" s="91"/>
      <c r="H41" s="91"/>
      <c r="I41" s="91"/>
      <c r="J41" s="91"/>
      <c r="K41" s="91"/>
      <c r="L41" s="91"/>
    </row>
    <row r="42" spans="1:12" ht="15">
      <c r="A42" s="87" t="s">
        <v>609</v>
      </c>
      <c r="B42" s="91">
        <v>2</v>
      </c>
      <c r="C42" s="91" t="s">
        <v>610</v>
      </c>
      <c r="D42" s="91">
        <v>2</v>
      </c>
      <c r="E42" s="91"/>
      <c r="F42" s="91"/>
      <c r="G42" s="91"/>
      <c r="H42" s="91"/>
      <c r="I42" s="91"/>
      <c r="J42" s="91"/>
      <c r="K42" s="91"/>
      <c r="L42" s="91"/>
    </row>
    <row r="43" spans="1:12" ht="15">
      <c r="A43" s="87" t="s">
        <v>610</v>
      </c>
      <c r="B43" s="91">
        <v>2</v>
      </c>
      <c r="C43" s="91" t="s">
        <v>611</v>
      </c>
      <c r="D43" s="91">
        <v>2</v>
      </c>
      <c r="E43" s="91"/>
      <c r="F43" s="91"/>
      <c r="G43" s="91"/>
      <c r="H43" s="91"/>
      <c r="I43" s="91"/>
      <c r="J43" s="91"/>
      <c r="K43" s="91"/>
      <c r="L43" s="91"/>
    </row>
    <row r="44" spans="1:12" ht="15">
      <c r="A44" s="87" t="s">
        <v>611</v>
      </c>
      <c r="B44" s="91">
        <v>2</v>
      </c>
      <c r="C44" s="91" t="s">
        <v>612</v>
      </c>
      <c r="D44" s="91">
        <v>2</v>
      </c>
      <c r="E44" s="91"/>
      <c r="F44" s="91"/>
      <c r="G44" s="91"/>
      <c r="H44" s="91"/>
      <c r="I44" s="91"/>
      <c r="J44" s="91"/>
      <c r="K44" s="91"/>
      <c r="L44" s="91"/>
    </row>
    <row r="45" spans="1:12" ht="15">
      <c r="A45" s="87" t="s">
        <v>612</v>
      </c>
      <c r="B45" s="91">
        <v>2</v>
      </c>
      <c r="C45" s="91" t="s">
        <v>613</v>
      </c>
      <c r="D45" s="91">
        <v>2</v>
      </c>
      <c r="E45" s="91"/>
      <c r="F45" s="91"/>
      <c r="G45" s="91"/>
      <c r="H45" s="91"/>
      <c r="I45" s="91"/>
      <c r="J45" s="91"/>
      <c r="K45" s="91"/>
      <c r="L45" s="91"/>
    </row>
    <row r="46" spans="1:12" ht="15">
      <c r="A46" s="87" t="s">
        <v>613</v>
      </c>
      <c r="B46" s="91">
        <v>2</v>
      </c>
      <c r="C46" s="91" t="s">
        <v>615</v>
      </c>
      <c r="D46" s="91">
        <v>2</v>
      </c>
      <c r="E46" s="91"/>
      <c r="F46" s="91"/>
      <c r="G46" s="91"/>
      <c r="H46" s="91"/>
      <c r="I46" s="91"/>
      <c r="J46" s="91"/>
      <c r="K46" s="91"/>
      <c r="L46" s="91"/>
    </row>
    <row r="49" spans="1:12" ht="15" customHeight="1">
      <c r="A49" s="13" t="s">
        <v>622</v>
      </c>
      <c r="B49" s="13" t="s">
        <v>544</v>
      </c>
      <c r="C49" s="13" t="s">
        <v>624</v>
      </c>
      <c r="D49" s="13" t="s">
        <v>547</v>
      </c>
      <c r="E49" s="82" t="s">
        <v>625</v>
      </c>
      <c r="F49" s="82" t="s">
        <v>549</v>
      </c>
      <c r="G49" s="13" t="s">
        <v>628</v>
      </c>
      <c r="H49" s="13" t="s">
        <v>551</v>
      </c>
      <c r="I49" s="13" t="s">
        <v>630</v>
      </c>
      <c r="J49" s="13" t="s">
        <v>553</v>
      </c>
      <c r="K49" s="13" t="s">
        <v>632</v>
      </c>
      <c r="L49" s="13" t="s">
        <v>554</v>
      </c>
    </row>
    <row r="50" spans="1:12" ht="15">
      <c r="A50" s="82" t="s">
        <v>268</v>
      </c>
      <c r="B50" s="82">
        <v>2</v>
      </c>
      <c r="C50" s="82" t="s">
        <v>268</v>
      </c>
      <c r="D50" s="82">
        <v>2</v>
      </c>
      <c r="E50" s="82"/>
      <c r="F50" s="82"/>
      <c r="G50" s="82" t="s">
        <v>270</v>
      </c>
      <c r="H50" s="82">
        <v>1</v>
      </c>
      <c r="I50" s="82" t="s">
        <v>271</v>
      </c>
      <c r="J50" s="82">
        <v>1</v>
      </c>
      <c r="K50" s="82" t="s">
        <v>243</v>
      </c>
      <c r="L50" s="82">
        <v>1</v>
      </c>
    </row>
    <row r="51" spans="1:12" ht="15">
      <c r="A51" s="83" t="s">
        <v>271</v>
      </c>
      <c r="B51" s="82">
        <v>1</v>
      </c>
      <c r="C51" s="82"/>
      <c r="D51" s="82"/>
      <c r="E51" s="82"/>
      <c r="F51" s="82"/>
      <c r="G51" s="82"/>
      <c r="H51" s="82"/>
      <c r="I51" s="82"/>
      <c r="J51" s="82"/>
      <c r="K51" s="82"/>
      <c r="L51" s="82"/>
    </row>
    <row r="52" spans="1:12" ht="15">
      <c r="A52" s="83" t="s">
        <v>270</v>
      </c>
      <c r="B52" s="82">
        <v>1</v>
      </c>
      <c r="C52" s="82"/>
      <c r="D52" s="82"/>
      <c r="E52" s="82"/>
      <c r="F52" s="82"/>
      <c r="G52" s="82"/>
      <c r="H52" s="82"/>
      <c r="I52" s="82"/>
      <c r="J52" s="82"/>
      <c r="K52" s="82"/>
      <c r="L52" s="82"/>
    </row>
    <row r="53" spans="1:12" ht="15">
      <c r="A53" s="83" t="s">
        <v>243</v>
      </c>
      <c r="B53" s="82">
        <v>1</v>
      </c>
      <c r="C53" s="82"/>
      <c r="D53" s="82"/>
      <c r="E53" s="82"/>
      <c r="F53" s="82"/>
      <c r="G53" s="82"/>
      <c r="H53" s="82"/>
      <c r="I53" s="82"/>
      <c r="J53" s="82"/>
      <c r="K53" s="82"/>
      <c r="L53" s="82"/>
    </row>
    <row r="56" spans="1:12" ht="15" customHeight="1">
      <c r="A56" s="13" t="s">
        <v>623</v>
      </c>
      <c r="B56" s="13" t="s">
        <v>544</v>
      </c>
      <c r="C56" s="13" t="s">
        <v>626</v>
      </c>
      <c r="D56" s="13" t="s">
        <v>547</v>
      </c>
      <c r="E56" s="82" t="s">
        <v>627</v>
      </c>
      <c r="F56" s="82" t="s">
        <v>549</v>
      </c>
      <c r="G56" s="13" t="s">
        <v>629</v>
      </c>
      <c r="H56" s="13" t="s">
        <v>551</v>
      </c>
      <c r="I56" s="82" t="s">
        <v>631</v>
      </c>
      <c r="J56" s="82" t="s">
        <v>553</v>
      </c>
      <c r="K56" s="82" t="s">
        <v>633</v>
      </c>
      <c r="L56" s="82" t="s">
        <v>554</v>
      </c>
    </row>
    <row r="57" spans="1:12" ht="15">
      <c r="A57" s="82" t="s">
        <v>267</v>
      </c>
      <c r="B57" s="82">
        <v>2</v>
      </c>
      <c r="C57" s="82" t="s">
        <v>267</v>
      </c>
      <c r="D57" s="82">
        <v>2</v>
      </c>
      <c r="E57" s="82"/>
      <c r="F57" s="82"/>
      <c r="G57" s="82" t="s">
        <v>269</v>
      </c>
      <c r="H57" s="82">
        <v>1</v>
      </c>
      <c r="I57" s="82"/>
      <c r="J57" s="82"/>
      <c r="K57" s="82"/>
      <c r="L57" s="82"/>
    </row>
    <row r="58" spans="1:12" ht="15">
      <c r="A58" s="83" t="s">
        <v>266</v>
      </c>
      <c r="B58" s="82">
        <v>2</v>
      </c>
      <c r="C58" s="82" t="s">
        <v>266</v>
      </c>
      <c r="D58" s="82">
        <v>2</v>
      </c>
      <c r="E58" s="82"/>
      <c r="F58" s="82"/>
      <c r="G58" s="82"/>
      <c r="H58" s="82"/>
      <c r="I58" s="82"/>
      <c r="J58" s="82"/>
      <c r="K58" s="82"/>
      <c r="L58" s="82"/>
    </row>
    <row r="59" spans="1:12" ht="15">
      <c r="A59" s="83" t="s">
        <v>265</v>
      </c>
      <c r="B59" s="82">
        <v>2</v>
      </c>
      <c r="C59" s="82" t="s">
        <v>265</v>
      </c>
      <c r="D59" s="82">
        <v>2</v>
      </c>
      <c r="E59" s="82"/>
      <c r="F59" s="82"/>
      <c r="G59" s="82"/>
      <c r="H59" s="82"/>
      <c r="I59" s="82"/>
      <c r="J59" s="82"/>
      <c r="K59" s="82"/>
      <c r="L59" s="82"/>
    </row>
    <row r="60" spans="1:12" ht="15">
      <c r="A60" s="83" t="s">
        <v>264</v>
      </c>
      <c r="B60" s="82">
        <v>2</v>
      </c>
      <c r="C60" s="82" t="s">
        <v>264</v>
      </c>
      <c r="D60" s="82">
        <v>2</v>
      </c>
      <c r="E60" s="82"/>
      <c r="F60" s="82"/>
      <c r="G60" s="82"/>
      <c r="H60" s="82"/>
      <c r="I60" s="82"/>
      <c r="J60" s="82"/>
      <c r="K60" s="82"/>
      <c r="L60" s="82"/>
    </row>
    <row r="61" spans="1:12" ht="15">
      <c r="A61" s="83" t="s">
        <v>263</v>
      </c>
      <c r="B61" s="82">
        <v>2</v>
      </c>
      <c r="C61" s="82" t="s">
        <v>263</v>
      </c>
      <c r="D61" s="82">
        <v>2</v>
      </c>
      <c r="E61" s="82"/>
      <c r="F61" s="82"/>
      <c r="G61" s="82"/>
      <c r="H61" s="82"/>
      <c r="I61" s="82"/>
      <c r="J61" s="82"/>
      <c r="K61" s="82"/>
      <c r="L61" s="82"/>
    </row>
    <row r="62" spans="1:12" ht="15">
      <c r="A62" s="83" t="s">
        <v>262</v>
      </c>
      <c r="B62" s="82">
        <v>2</v>
      </c>
      <c r="C62" s="82" t="s">
        <v>262</v>
      </c>
      <c r="D62" s="82">
        <v>2</v>
      </c>
      <c r="E62" s="82"/>
      <c r="F62" s="82"/>
      <c r="G62" s="82"/>
      <c r="H62" s="82"/>
      <c r="I62" s="82"/>
      <c r="J62" s="82"/>
      <c r="K62" s="82"/>
      <c r="L62" s="82"/>
    </row>
    <row r="63" spans="1:12" ht="15">
      <c r="A63" s="83" t="s">
        <v>261</v>
      </c>
      <c r="B63" s="82">
        <v>2</v>
      </c>
      <c r="C63" s="82" t="s">
        <v>261</v>
      </c>
      <c r="D63" s="82">
        <v>2</v>
      </c>
      <c r="E63" s="82"/>
      <c r="F63" s="82"/>
      <c r="G63" s="82"/>
      <c r="H63" s="82"/>
      <c r="I63" s="82"/>
      <c r="J63" s="82"/>
      <c r="K63" s="82"/>
      <c r="L63" s="82"/>
    </row>
    <row r="64" spans="1:12" ht="15">
      <c r="A64" s="83" t="s">
        <v>260</v>
      </c>
      <c r="B64" s="82">
        <v>2</v>
      </c>
      <c r="C64" s="82" t="s">
        <v>260</v>
      </c>
      <c r="D64" s="82">
        <v>2</v>
      </c>
      <c r="E64" s="82"/>
      <c r="F64" s="82"/>
      <c r="G64" s="82"/>
      <c r="H64" s="82"/>
      <c r="I64" s="82"/>
      <c r="J64" s="82"/>
      <c r="K64" s="82"/>
      <c r="L64" s="82"/>
    </row>
    <row r="65" spans="1:12" ht="15">
      <c r="A65" s="83" t="s">
        <v>259</v>
      </c>
      <c r="B65" s="82">
        <v>2</v>
      </c>
      <c r="C65" s="82" t="s">
        <v>259</v>
      </c>
      <c r="D65" s="82">
        <v>2</v>
      </c>
      <c r="E65" s="82"/>
      <c r="F65" s="82"/>
      <c r="G65" s="82"/>
      <c r="H65" s="82"/>
      <c r="I65" s="82"/>
      <c r="J65" s="82"/>
      <c r="K65" s="82"/>
      <c r="L65" s="82"/>
    </row>
    <row r="66" spans="1:12" ht="15">
      <c r="A66" s="83" t="s">
        <v>258</v>
      </c>
      <c r="B66" s="82">
        <v>2</v>
      </c>
      <c r="C66" s="82" t="s">
        <v>258</v>
      </c>
      <c r="D66" s="82">
        <v>2</v>
      </c>
      <c r="E66" s="82"/>
      <c r="F66" s="82"/>
      <c r="G66" s="82"/>
      <c r="H66" s="82"/>
      <c r="I66" s="82"/>
      <c r="J66" s="82"/>
      <c r="K66" s="82"/>
      <c r="L66" s="82"/>
    </row>
    <row r="69" spans="1:12" ht="15" customHeight="1">
      <c r="A69" s="13" t="s">
        <v>637</v>
      </c>
      <c r="B69" s="13" t="s">
        <v>544</v>
      </c>
      <c r="C69" s="13" t="s">
        <v>638</v>
      </c>
      <c r="D69" s="13" t="s">
        <v>547</v>
      </c>
      <c r="E69" s="13" t="s">
        <v>639</v>
      </c>
      <c r="F69" s="13" t="s">
        <v>549</v>
      </c>
      <c r="G69" s="13" t="s">
        <v>640</v>
      </c>
      <c r="H69" s="13" t="s">
        <v>551</v>
      </c>
      <c r="I69" s="13" t="s">
        <v>641</v>
      </c>
      <c r="J69" s="13" t="s">
        <v>553</v>
      </c>
      <c r="K69" s="13" t="s">
        <v>642</v>
      </c>
      <c r="L69" s="13" t="s">
        <v>554</v>
      </c>
    </row>
    <row r="70" spans="1:12" ht="15">
      <c r="A70" s="115" t="s">
        <v>261</v>
      </c>
      <c r="B70" s="82">
        <v>359634</v>
      </c>
      <c r="C70" s="115" t="s">
        <v>261</v>
      </c>
      <c r="D70" s="82">
        <v>359634</v>
      </c>
      <c r="E70" s="115" t="s">
        <v>234</v>
      </c>
      <c r="F70" s="82">
        <v>35026</v>
      </c>
      <c r="G70" s="115" t="s">
        <v>240</v>
      </c>
      <c r="H70" s="82">
        <v>69658</v>
      </c>
      <c r="I70" s="115" t="s">
        <v>271</v>
      </c>
      <c r="J70" s="82">
        <v>6094</v>
      </c>
      <c r="K70" s="115" t="s">
        <v>236</v>
      </c>
      <c r="L70" s="82">
        <v>9435</v>
      </c>
    </row>
    <row r="71" spans="1:12" ht="15">
      <c r="A71" s="117" t="s">
        <v>253</v>
      </c>
      <c r="B71" s="82">
        <v>134382</v>
      </c>
      <c r="C71" s="115" t="s">
        <v>253</v>
      </c>
      <c r="D71" s="82">
        <v>134382</v>
      </c>
      <c r="E71" s="115" t="s">
        <v>235</v>
      </c>
      <c r="F71" s="82">
        <v>32315</v>
      </c>
      <c r="G71" s="115" t="s">
        <v>270</v>
      </c>
      <c r="H71" s="82">
        <v>65616</v>
      </c>
      <c r="I71" s="115" t="s">
        <v>241</v>
      </c>
      <c r="J71" s="82">
        <v>338</v>
      </c>
      <c r="K71" s="115" t="s">
        <v>243</v>
      </c>
      <c r="L71" s="82">
        <v>382</v>
      </c>
    </row>
    <row r="72" spans="1:12" ht="15">
      <c r="A72" s="117" t="s">
        <v>246</v>
      </c>
      <c r="B72" s="82">
        <v>96683</v>
      </c>
      <c r="C72" s="115" t="s">
        <v>246</v>
      </c>
      <c r="D72" s="82">
        <v>96683</v>
      </c>
      <c r="E72" s="115" t="s">
        <v>239</v>
      </c>
      <c r="F72" s="82">
        <v>17859</v>
      </c>
      <c r="G72" s="115" t="s">
        <v>269</v>
      </c>
      <c r="H72" s="82">
        <v>5088</v>
      </c>
      <c r="I72" s="115"/>
      <c r="J72" s="82"/>
      <c r="K72" s="115"/>
      <c r="L72" s="82"/>
    </row>
    <row r="73" spans="1:12" ht="15">
      <c r="A73" s="117" t="s">
        <v>240</v>
      </c>
      <c r="B73" s="82">
        <v>69658</v>
      </c>
      <c r="C73" s="115" t="s">
        <v>238</v>
      </c>
      <c r="D73" s="82">
        <v>55190</v>
      </c>
      <c r="E73" s="115" t="s">
        <v>242</v>
      </c>
      <c r="F73" s="82">
        <v>3450</v>
      </c>
      <c r="G73" s="115"/>
      <c r="H73" s="82"/>
      <c r="I73" s="115"/>
      <c r="J73" s="82"/>
      <c r="K73" s="115"/>
      <c r="L73" s="82"/>
    </row>
    <row r="74" spans="1:12" ht="15">
      <c r="A74" s="117" t="s">
        <v>270</v>
      </c>
      <c r="B74" s="82">
        <v>65616</v>
      </c>
      <c r="C74" s="115" t="s">
        <v>237</v>
      </c>
      <c r="D74" s="82">
        <v>51513</v>
      </c>
      <c r="E74" s="115"/>
      <c r="F74" s="82"/>
      <c r="G74" s="115"/>
      <c r="H74" s="82"/>
      <c r="I74" s="115"/>
      <c r="J74" s="82"/>
      <c r="K74" s="115"/>
      <c r="L74" s="82"/>
    </row>
    <row r="75" spans="1:12" ht="15">
      <c r="A75" s="117" t="s">
        <v>238</v>
      </c>
      <c r="B75" s="82">
        <v>55190</v>
      </c>
      <c r="C75" s="115" t="s">
        <v>262</v>
      </c>
      <c r="D75" s="82">
        <v>50390</v>
      </c>
      <c r="E75" s="115"/>
      <c r="F75" s="82"/>
      <c r="G75" s="115"/>
      <c r="H75" s="82"/>
      <c r="I75" s="115"/>
      <c r="J75" s="82"/>
      <c r="K75" s="115"/>
      <c r="L75" s="82"/>
    </row>
    <row r="76" spans="1:12" ht="15">
      <c r="A76" s="117" t="s">
        <v>237</v>
      </c>
      <c r="B76" s="82">
        <v>51513</v>
      </c>
      <c r="C76" s="115" t="s">
        <v>252</v>
      </c>
      <c r="D76" s="82">
        <v>49398</v>
      </c>
      <c r="E76" s="115"/>
      <c r="F76" s="82"/>
      <c r="G76" s="115"/>
      <c r="H76" s="82"/>
      <c r="I76" s="115"/>
      <c r="J76" s="82"/>
      <c r="K76" s="115"/>
      <c r="L76" s="82"/>
    </row>
    <row r="77" spans="1:12" ht="15">
      <c r="A77" s="117" t="s">
        <v>262</v>
      </c>
      <c r="B77" s="82">
        <v>50390</v>
      </c>
      <c r="C77" s="115" t="s">
        <v>254</v>
      </c>
      <c r="D77" s="82">
        <v>48633</v>
      </c>
      <c r="E77" s="115"/>
      <c r="F77" s="82"/>
      <c r="G77" s="115"/>
      <c r="H77" s="82"/>
      <c r="I77" s="115"/>
      <c r="J77" s="82"/>
      <c r="K77" s="115"/>
      <c r="L77" s="82"/>
    </row>
    <row r="78" spans="1:12" ht="15">
      <c r="A78" s="117" t="s">
        <v>252</v>
      </c>
      <c r="B78" s="82">
        <v>49398</v>
      </c>
      <c r="C78" s="115" t="s">
        <v>264</v>
      </c>
      <c r="D78" s="82">
        <v>46028</v>
      </c>
      <c r="E78" s="115"/>
      <c r="F78" s="82"/>
      <c r="G78" s="115"/>
      <c r="H78" s="82"/>
      <c r="I78" s="115"/>
      <c r="J78" s="82"/>
      <c r="K78" s="115"/>
      <c r="L78" s="82"/>
    </row>
    <row r="79" spans="1:12" ht="15">
      <c r="A79" s="117" t="s">
        <v>254</v>
      </c>
      <c r="B79" s="82">
        <v>48633</v>
      </c>
      <c r="C79" s="115" t="s">
        <v>256</v>
      </c>
      <c r="D79" s="82">
        <v>45876</v>
      </c>
      <c r="E79" s="115"/>
      <c r="F79" s="82"/>
      <c r="G79" s="115"/>
      <c r="H79" s="82"/>
      <c r="I79" s="115"/>
      <c r="J79" s="82"/>
      <c r="K79" s="115"/>
      <c r="L79" s="82"/>
    </row>
  </sheetData>
  <hyperlinks>
    <hyperlink ref="A2" r:id="rId1" display="https://twitter.com/chill_purr/status/1445387585745006610"/>
    <hyperlink ref="A3" r:id="rId2" display="https://twitter.com/jan_dutkiewicz/status/1445374355656085509"/>
    <hyperlink ref="E2" r:id="rId3" display="https://twitter.com/chill_purr/status/1445387585745006610"/>
    <hyperlink ref="E3" r:id="rId4" display="https://twitter.com/jan_dutkiewicz/status/1445374355656085509"/>
  </hyperlinks>
  <printOptions/>
  <pageMargins left="0.7" right="0.7" top="0.75" bottom="0.75" header="0.3" footer="0.3"/>
  <pageSetup orientation="portrait" paperSize="9"/>
  <tableParts>
    <tablePart r:id="rId8"/>
    <tablePart r:id="rId9"/>
    <tablePart r:id="rId12"/>
    <tablePart r:id="rId7"/>
    <tablePart r:id="rId10"/>
    <tablePart r:id="rId6"/>
    <tablePart r:id="rId5"/>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E871-1104-43A4-8D6A-4120582C2F2C}">
  <dimension ref="A1:G1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674</v>
      </c>
      <c r="B1" s="13" t="s">
        <v>718</v>
      </c>
      <c r="C1" s="13" t="s">
        <v>722</v>
      </c>
      <c r="D1" s="13" t="s">
        <v>144</v>
      </c>
      <c r="E1" s="13" t="s">
        <v>724</v>
      </c>
      <c r="F1" s="13" t="s">
        <v>725</v>
      </c>
      <c r="G1" s="13" t="s">
        <v>726</v>
      </c>
    </row>
    <row r="2" spans="1:7" ht="15">
      <c r="A2" s="82" t="s">
        <v>675</v>
      </c>
      <c r="B2" s="82" t="s">
        <v>719</v>
      </c>
      <c r="C2" s="120"/>
      <c r="D2" s="82"/>
      <c r="E2" s="82"/>
      <c r="F2" s="82"/>
      <c r="G2" s="82"/>
    </row>
    <row r="3" spans="1:7" ht="15">
      <c r="A3" s="83" t="s">
        <v>676</v>
      </c>
      <c r="B3" s="82" t="s">
        <v>720</v>
      </c>
      <c r="C3" s="120"/>
      <c r="D3" s="82"/>
      <c r="E3" s="82"/>
      <c r="F3" s="82"/>
      <c r="G3" s="82"/>
    </row>
    <row r="4" spans="1:7" ht="15">
      <c r="A4" s="83" t="s">
        <v>677</v>
      </c>
      <c r="B4" s="82" t="s">
        <v>721</v>
      </c>
      <c r="C4" s="120"/>
      <c r="D4" s="82"/>
      <c r="E4" s="82"/>
      <c r="F4" s="82"/>
      <c r="G4" s="82"/>
    </row>
    <row r="5" spans="1:7" ht="15">
      <c r="A5" s="83" t="s">
        <v>678</v>
      </c>
      <c r="B5" s="82">
        <v>6</v>
      </c>
      <c r="C5" s="120">
        <v>0.014563106796116505</v>
      </c>
      <c r="D5" s="82"/>
      <c r="E5" s="82"/>
      <c r="F5" s="82"/>
      <c r="G5" s="82"/>
    </row>
    <row r="6" spans="1:7" ht="15">
      <c r="A6" s="83" t="s">
        <v>679</v>
      </c>
      <c r="B6" s="82">
        <v>12</v>
      </c>
      <c r="C6" s="120">
        <v>0.02912621359223301</v>
      </c>
      <c r="D6" s="82"/>
      <c r="E6" s="82"/>
      <c r="F6" s="82"/>
      <c r="G6" s="82"/>
    </row>
    <row r="7" spans="1:7" ht="15">
      <c r="A7" s="83" t="s">
        <v>680</v>
      </c>
      <c r="B7" s="82">
        <v>0</v>
      </c>
      <c r="C7" s="120">
        <v>0</v>
      </c>
      <c r="D7" s="82"/>
      <c r="E7" s="82"/>
      <c r="F7" s="82"/>
      <c r="G7" s="82"/>
    </row>
    <row r="8" spans="1:7" ht="15">
      <c r="A8" s="83" t="s">
        <v>681</v>
      </c>
      <c r="B8" s="82">
        <v>394</v>
      </c>
      <c r="C8" s="120">
        <v>0.9563106796116504</v>
      </c>
      <c r="D8" s="82"/>
      <c r="E8" s="82"/>
      <c r="F8" s="82"/>
      <c r="G8" s="82"/>
    </row>
    <row r="9" spans="1:7" ht="15">
      <c r="A9" s="83" t="s">
        <v>682</v>
      </c>
      <c r="B9" s="82">
        <v>412</v>
      </c>
      <c r="C9" s="120">
        <v>1</v>
      </c>
      <c r="D9" s="82"/>
      <c r="E9" s="82"/>
      <c r="F9" s="82"/>
      <c r="G9" s="82"/>
    </row>
    <row r="10" spans="1:7" ht="15">
      <c r="A10" s="87" t="s">
        <v>582</v>
      </c>
      <c r="B10" s="91">
        <v>15</v>
      </c>
      <c r="C10" s="121">
        <v>0</v>
      </c>
      <c r="D10" s="91" t="s">
        <v>723</v>
      </c>
      <c r="E10" s="91" t="b">
        <v>0</v>
      </c>
      <c r="F10" s="91" t="b">
        <v>0</v>
      </c>
      <c r="G10" s="91" t="b">
        <v>0</v>
      </c>
    </row>
    <row r="11" spans="1:7" ht="15">
      <c r="A11" s="87" t="s">
        <v>567</v>
      </c>
      <c r="B11" s="91">
        <v>9</v>
      </c>
      <c r="C11" s="121">
        <v>0.0013727247168202543</v>
      </c>
      <c r="D11" s="91" t="s">
        <v>723</v>
      </c>
      <c r="E11" s="91" t="b">
        <v>0</v>
      </c>
      <c r="F11" s="91" t="b">
        <v>0</v>
      </c>
      <c r="G11" s="91" t="b">
        <v>0</v>
      </c>
    </row>
    <row r="12" spans="1:7" ht="15">
      <c r="A12" s="87" t="s">
        <v>583</v>
      </c>
      <c r="B12" s="91">
        <v>6</v>
      </c>
      <c r="C12" s="121">
        <v>0.013979400086720377</v>
      </c>
      <c r="D12" s="91" t="s">
        <v>723</v>
      </c>
      <c r="E12" s="91" t="b">
        <v>0</v>
      </c>
      <c r="F12" s="91" t="b">
        <v>0</v>
      </c>
      <c r="G12" s="91" t="b">
        <v>0</v>
      </c>
    </row>
    <row r="13" spans="1:7" ht="15">
      <c r="A13" s="87" t="s">
        <v>584</v>
      </c>
      <c r="B13" s="91">
        <v>4</v>
      </c>
      <c r="C13" s="121">
        <v>0.009319600057813585</v>
      </c>
      <c r="D13" s="91" t="s">
        <v>723</v>
      </c>
      <c r="E13" s="91" t="b">
        <v>0</v>
      </c>
      <c r="F13" s="91" t="b">
        <v>0</v>
      </c>
      <c r="G13" s="91" t="b">
        <v>0</v>
      </c>
    </row>
    <row r="14" spans="1:7" ht="15">
      <c r="A14" s="87" t="s">
        <v>585</v>
      </c>
      <c r="B14" s="91">
        <v>4</v>
      </c>
      <c r="C14" s="121">
        <v>0.009319600057813585</v>
      </c>
      <c r="D14" s="91" t="s">
        <v>723</v>
      </c>
      <c r="E14" s="91" t="b">
        <v>0</v>
      </c>
      <c r="F14" s="91" t="b">
        <v>0</v>
      </c>
      <c r="G14" s="91" t="b">
        <v>0</v>
      </c>
    </row>
    <row r="15" spans="1:7" ht="15">
      <c r="A15" s="87" t="s">
        <v>586</v>
      </c>
      <c r="B15" s="91">
        <v>4</v>
      </c>
      <c r="C15" s="121">
        <v>0.009319600057813585</v>
      </c>
      <c r="D15" s="91" t="s">
        <v>723</v>
      </c>
      <c r="E15" s="91" t="b">
        <v>0</v>
      </c>
      <c r="F15" s="91" t="b">
        <v>0</v>
      </c>
      <c r="G15" s="91" t="b">
        <v>0</v>
      </c>
    </row>
    <row r="16" spans="1:7" ht="15">
      <c r="A16" s="87" t="s">
        <v>587</v>
      </c>
      <c r="B16" s="91">
        <v>4</v>
      </c>
      <c r="C16" s="121">
        <v>0.009319600057813585</v>
      </c>
      <c r="D16" s="91" t="s">
        <v>723</v>
      </c>
      <c r="E16" s="91" t="b">
        <v>0</v>
      </c>
      <c r="F16" s="91" t="b">
        <v>0</v>
      </c>
      <c r="G16" s="91" t="b">
        <v>0</v>
      </c>
    </row>
    <row r="17" spans="1:7" ht="15">
      <c r="A17" s="87" t="s">
        <v>588</v>
      </c>
      <c r="B17" s="91">
        <v>4</v>
      </c>
      <c r="C17" s="121">
        <v>0.009319600057813585</v>
      </c>
      <c r="D17" s="91" t="s">
        <v>723</v>
      </c>
      <c r="E17" s="91" t="b">
        <v>0</v>
      </c>
      <c r="F17" s="91" t="b">
        <v>0</v>
      </c>
      <c r="G17" s="91" t="b">
        <v>0</v>
      </c>
    </row>
    <row r="18" spans="1:7" ht="15">
      <c r="A18" s="87" t="s">
        <v>589</v>
      </c>
      <c r="B18" s="91">
        <v>4</v>
      </c>
      <c r="C18" s="121">
        <v>0.009319600057813585</v>
      </c>
      <c r="D18" s="91" t="s">
        <v>723</v>
      </c>
      <c r="E18" s="91" t="b">
        <v>0</v>
      </c>
      <c r="F18" s="91" t="b">
        <v>0</v>
      </c>
      <c r="G18" s="91" t="b">
        <v>0</v>
      </c>
    </row>
    <row r="19" spans="1:7" ht="15">
      <c r="A19" s="87" t="s">
        <v>590</v>
      </c>
      <c r="B19" s="91">
        <v>3</v>
      </c>
      <c r="C19" s="121">
        <v>0.0069897000433601884</v>
      </c>
      <c r="D19" s="91" t="s">
        <v>723</v>
      </c>
      <c r="E19" s="91" t="b">
        <v>0</v>
      </c>
      <c r="F19" s="91" t="b">
        <v>0</v>
      </c>
      <c r="G19" s="91" t="b">
        <v>0</v>
      </c>
    </row>
    <row r="20" spans="1:7" ht="15">
      <c r="A20" s="87" t="s">
        <v>683</v>
      </c>
      <c r="B20" s="91">
        <v>3</v>
      </c>
      <c r="C20" s="121">
        <v>0.005228787452803376</v>
      </c>
      <c r="D20" s="91" t="s">
        <v>723</v>
      </c>
      <c r="E20" s="91" t="b">
        <v>0</v>
      </c>
      <c r="F20" s="91" t="b">
        <v>0</v>
      </c>
      <c r="G20" s="91" t="b">
        <v>0</v>
      </c>
    </row>
    <row r="21" spans="1:7" ht="15">
      <c r="A21" s="87" t="s">
        <v>684</v>
      </c>
      <c r="B21" s="91">
        <v>3</v>
      </c>
      <c r="C21" s="121">
        <v>0.005228787452803376</v>
      </c>
      <c r="D21" s="91" t="s">
        <v>723</v>
      </c>
      <c r="E21" s="91" t="b">
        <v>0</v>
      </c>
      <c r="F21" s="91" t="b">
        <v>0</v>
      </c>
      <c r="G21" s="91" t="b">
        <v>0</v>
      </c>
    </row>
    <row r="22" spans="1:7" ht="15">
      <c r="A22" s="87" t="s">
        <v>685</v>
      </c>
      <c r="B22" s="91">
        <v>3</v>
      </c>
      <c r="C22" s="121">
        <v>0.005228787452803376</v>
      </c>
      <c r="D22" s="91" t="s">
        <v>723</v>
      </c>
      <c r="E22" s="91" t="b">
        <v>0</v>
      </c>
      <c r="F22" s="91" t="b">
        <v>0</v>
      </c>
      <c r="G22" s="91" t="b">
        <v>0</v>
      </c>
    </row>
    <row r="23" spans="1:7" ht="15">
      <c r="A23" s="87" t="s">
        <v>686</v>
      </c>
      <c r="B23" s="91">
        <v>2</v>
      </c>
      <c r="C23" s="121">
        <v>0.004659800028906792</v>
      </c>
      <c r="D23" s="91" t="s">
        <v>723</v>
      </c>
      <c r="E23" s="91" t="b">
        <v>0</v>
      </c>
      <c r="F23" s="91" t="b">
        <v>0</v>
      </c>
      <c r="G23" s="91" t="b">
        <v>0</v>
      </c>
    </row>
    <row r="24" spans="1:7" ht="15">
      <c r="A24" s="87" t="s">
        <v>687</v>
      </c>
      <c r="B24" s="91">
        <v>2</v>
      </c>
      <c r="C24" s="121">
        <v>0.004659800028906792</v>
      </c>
      <c r="D24" s="91" t="s">
        <v>723</v>
      </c>
      <c r="E24" s="91" t="b">
        <v>0</v>
      </c>
      <c r="F24" s="91" t="b">
        <v>0</v>
      </c>
      <c r="G24" s="91" t="b">
        <v>0</v>
      </c>
    </row>
    <row r="25" spans="1:7" ht="15">
      <c r="A25" s="87" t="s">
        <v>595</v>
      </c>
      <c r="B25" s="91">
        <v>2</v>
      </c>
      <c r="C25" s="121">
        <v>0.006666666666666667</v>
      </c>
      <c r="D25" s="91" t="s">
        <v>723</v>
      </c>
      <c r="E25" s="91" t="b">
        <v>1</v>
      </c>
      <c r="F25" s="91" t="b">
        <v>0</v>
      </c>
      <c r="G25" s="91" t="b">
        <v>0</v>
      </c>
    </row>
    <row r="26" spans="1:7" ht="15">
      <c r="A26" s="87" t="s">
        <v>268</v>
      </c>
      <c r="B26" s="91">
        <v>2</v>
      </c>
      <c r="C26" s="121">
        <v>0.004659800028906792</v>
      </c>
      <c r="D26" s="91" t="s">
        <v>723</v>
      </c>
      <c r="E26" s="91" t="b">
        <v>0</v>
      </c>
      <c r="F26" s="91" t="b">
        <v>0</v>
      </c>
      <c r="G26" s="91" t="b">
        <v>0</v>
      </c>
    </row>
    <row r="27" spans="1:7" ht="15">
      <c r="A27" s="87" t="s">
        <v>267</v>
      </c>
      <c r="B27" s="91">
        <v>2</v>
      </c>
      <c r="C27" s="121">
        <v>0.004659800028906792</v>
      </c>
      <c r="D27" s="91" t="s">
        <v>723</v>
      </c>
      <c r="E27" s="91" t="b">
        <v>0</v>
      </c>
      <c r="F27" s="91" t="b">
        <v>0</v>
      </c>
      <c r="G27" s="91" t="b">
        <v>0</v>
      </c>
    </row>
    <row r="28" spans="1:7" ht="15">
      <c r="A28" s="87" t="s">
        <v>266</v>
      </c>
      <c r="B28" s="91">
        <v>2</v>
      </c>
      <c r="C28" s="121">
        <v>0.004659800028906792</v>
      </c>
      <c r="D28" s="91" t="s">
        <v>723</v>
      </c>
      <c r="E28" s="91" t="b">
        <v>0</v>
      </c>
      <c r="F28" s="91" t="b">
        <v>0</v>
      </c>
      <c r="G28" s="91" t="b">
        <v>0</v>
      </c>
    </row>
    <row r="29" spans="1:7" ht="15">
      <c r="A29" s="87" t="s">
        <v>265</v>
      </c>
      <c r="B29" s="91">
        <v>2</v>
      </c>
      <c r="C29" s="121">
        <v>0.004659800028906792</v>
      </c>
      <c r="D29" s="91" t="s">
        <v>723</v>
      </c>
      <c r="E29" s="91" t="b">
        <v>0</v>
      </c>
      <c r="F29" s="91" t="b">
        <v>0</v>
      </c>
      <c r="G29" s="91" t="b">
        <v>0</v>
      </c>
    </row>
    <row r="30" spans="1:7" ht="15">
      <c r="A30" s="87" t="s">
        <v>264</v>
      </c>
      <c r="B30" s="91">
        <v>2</v>
      </c>
      <c r="C30" s="121">
        <v>0.004659800028906792</v>
      </c>
      <c r="D30" s="91" t="s">
        <v>723</v>
      </c>
      <c r="E30" s="91" t="b">
        <v>0</v>
      </c>
      <c r="F30" s="91" t="b">
        <v>0</v>
      </c>
      <c r="G30" s="91" t="b">
        <v>0</v>
      </c>
    </row>
    <row r="31" spans="1:7" ht="15">
      <c r="A31" s="87" t="s">
        <v>263</v>
      </c>
      <c r="B31" s="91">
        <v>2</v>
      </c>
      <c r="C31" s="121">
        <v>0.004659800028906792</v>
      </c>
      <c r="D31" s="91" t="s">
        <v>723</v>
      </c>
      <c r="E31" s="91" t="b">
        <v>0</v>
      </c>
      <c r="F31" s="91" t="b">
        <v>0</v>
      </c>
      <c r="G31" s="91" t="b">
        <v>0</v>
      </c>
    </row>
    <row r="32" spans="1:7" ht="15">
      <c r="A32" s="87" t="s">
        <v>262</v>
      </c>
      <c r="B32" s="91">
        <v>2</v>
      </c>
      <c r="C32" s="121">
        <v>0.004659800028906792</v>
      </c>
      <c r="D32" s="91" t="s">
        <v>723</v>
      </c>
      <c r="E32" s="91" t="b">
        <v>0</v>
      </c>
      <c r="F32" s="91" t="b">
        <v>0</v>
      </c>
      <c r="G32" s="91" t="b">
        <v>0</v>
      </c>
    </row>
    <row r="33" spans="1:7" ht="15">
      <c r="A33" s="87" t="s">
        <v>261</v>
      </c>
      <c r="B33" s="91">
        <v>2</v>
      </c>
      <c r="C33" s="121">
        <v>0.004659800028906792</v>
      </c>
      <c r="D33" s="91" t="s">
        <v>723</v>
      </c>
      <c r="E33" s="91" t="b">
        <v>0</v>
      </c>
      <c r="F33" s="91" t="b">
        <v>0</v>
      </c>
      <c r="G33" s="91" t="b">
        <v>0</v>
      </c>
    </row>
    <row r="34" spans="1:7" ht="15">
      <c r="A34" s="87" t="s">
        <v>260</v>
      </c>
      <c r="B34" s="91">
        <v>2</v>
      </c>
      <c r="C34" s="121">
        <v>0.004659800028906792</v>
      </c>
      <c r="D34" s="91" t="s">
        <v>723</v>
      </c>
      <c r="E34" s="91" t="b">
        <v>0</v>
      </c>
      <c r="F34" s="91" t="b">
        <v>0</v>
      </c>
      <c r="G34" s="91" t="b">
        <v>0</v>
      </c>
    </row>
    <row r="35" spans="1:7" ht="15">
      <c r="A35" s="87" t="s">
        <v>259</v>
      </c>
      <c r="B35" s="91">
        <v>2</v>
      </c>
      <c r="C35" s="121">
        <v>0.004659800028906792</v>
      </c>
      <c r="D35" s="91" t="s">
        <v>723</v>
      </c>
      <c r="E35" s="91" t="b">
        <v>0</v>
      </c>
      <c r="F35" s="91" t="b">
        <v>0</v>
      </c>
      <c r="G35" s="91" t="b">
        <v>0</v>
      </c>
    </row>
    <row r="36" spans="1:7" ht="15">
      <c r="A36" s="87" t="s">
        <v>258</v>
      </c>
      <c r="B36" s="91">
        <v>2</v>
      </c>
      <c r="C36" s="121">
        <v>0.004659800028906792</v>
      </c>
      <c r="D36" s="91" t="s">
        <v>723</v>
      </c>
      <c r="E36" s="91" t="b">
        <v>0</v>
      </c>
      <c r="F36" s="91" t="b">
        <v>0</v>
      </c>
      <c r="G36" s="91" t="b">
        <v>0</v>
      </c>
    </row>
    <row r="37" spans="1:7" ht="15">
      <c r="A37" s="87" t="s">
        <v>257</v>
      </c>
      <c r="B37" s="91">
        <v>2</v>
      </c>
      <c r="C37" s="121">
        <v>0.004659800028906792</v>
      </c>
      <c r="D37" s="91" t="s">
        <v>723</v>
      </c>
      <c r="E37" s="91" t="b">
        <v>0</v>
      </c>
      <c r="F37" s="91" t="b">
        <v>0</v>
      </c>
      <c r="G37" s="91" t="b">
        <v>0</v>
      </c>
    </row>
    <row r="38" spans="1:7" ht="15">
      <c r="A38" s="87" t="s">
        <v>256</v>
      </c>
      <c r="B38" s="91">
        <v>2</v>
      </c>
      <c r="C38" s="121">
        <v>0.004659800028906792</v>
      </c>
      <c r="D38" s="91" t="s">
        <v>723</v>
      </c>
      <c r="E38" s="91" t="b">
        <v>0</v>
      </c>
      <c r="F38" s="91" t="b">
        <v>0</v>
      </c>
      <c r="G38" s="91" t="b">
        <v>0</v>
      </c>
    </row>
    <row r="39" spans="1:7" ht="15">
      <c r="A39" s="87" t="s">
        <v>255</v>
      </c>
      <c r="B39" s="91">
        <v>2</v>
      </c>
      <c r="C39" s="121">
        <v>0.004659800028906792</v>
      </c>
      <c r="D39" s="91" t="s">
        <v>723</v>
      </c>
      <c r="E39" s="91" t="b">
        <v>0</v>
      </c>
      <c r="F39" s="91" t="b">
        <v>0</v>
      </c>
      <c r="G39" s="91" t="b">
        <v>0</v>
      </c>
    </row>
    <row r="40" spans="1:7" ht="15">
      <c r="A40" s="87" t="s">
        <v>254</v>
      </c>
      <c r="B40" s="91">
        <v>2</v>
      </c>
      <c r="C40" s="121">
        <v>0.004659800028906792</v>
      </c>
      <c r="D40" s="91" t="s">
        <v>723</v>
      </c>
      <c r="E40" s="91" t="b">
        <v>0</v>
      </c>
      <c r="F40" s="91" t="b">
        <v>0</v>
      </c>
      <c r="G40" s="91" t="b">
        <v>0</v>
      </c>
    </row>
    <row r="41" spans="1:7" ht="15">
      <c r="A41" s="87" t="s">
        <v>253</v>
      </c>
      <c r="B41" s="91">
        <v>2</v>
      </c>
      <c r="C41" s="121">
        <v>0.004659800028906792</v>
      </c>
      <c r="D41" s="91" t="s">
        <v>723</v>
      </c>
      <c r="E41" s="91" t="b">
        <v>0</v>
      </c>
      <c r="F41" s="91" t="b">
        <v>0</v>
      </c>
      <c r="G41" s="91" t="b">
        <v>0</v>
      </c>
    </row>
    <row r="42" spans="1:7" ht="15">
      <c r="A42" s="87" t="s">
        <v>252</v>
      </c>
      <c r="B42" s="91">
        <v>2</v>
      </c>
      <c r="C42" s="121">
        <v>0.004659800028906792</v>
      </c>
      <c r="D42" s="91" t="s">
        <v>723</v>
      </c>
      <c r="E42" s="91" t="b">
        <v>0</v>
      </c>
      <c r="F42" s="91" t="b">
        <v>0</v>
      </c>
      <c r="G42" s="91" t="b">
        <v>0</v>
      </c>
    </row>
    <row r="43" spans="1:7" ht="15">
      <c r="A43" s="87" t="s">
        <v>251</v>
      </c>
      <c r="B43" s="91">
        <v>2</v>
      </c>
      <c r="C43" s="121">
        <v>0.004659800028906792</v>
      </c>
      <c r="D43" s="91" t="s">
        <v>723</v>
      </c>
      <c r="E43" s="91" t="b">
        <v>0</v>
      </c>
      <c r="F43" s="91" t="b">
        <v>0</v>
      </c>
      <c r="G43" s="91" t="b">
        <v>0</v>
      </c>
    </row>
    <row r="44" spans="1:7" ht="15">
      <c r="A44" s="87" t="s">
        <v>250</v>
      </c>
      <c r="B44" s="91">
        <v>2</v>
      </c>
      <c r="C44" s="121">
        <v>0.004659800028906792</v>
      </c>
      <c r="D44" s="91" t="s">
        <v>723</v>
      </c>
      <c r="E44" s="91" t="b">
        <v>0</v>
      </c>
      <c r="F44" s="91" t="b">
        <v>0</v>
      </c>
      <c r="G44" s="91" t="b">
        <v>0</v>
      </c>
    </row>
    <row r="45" spans="1:7" ht="15">
      <c r="A45" s="87" t="s">
        <v>249</v>
      </c>
      <c r="B45" s="91">
        <v>2</v>
      </c>
      <c r="C45" s="121">
        <v>0.004659800028906792</v>
      </c>
      <c r="D45" s="91" t="s">
        <v>723</v>
      </c>
      <c r="E45" s="91" t="b">
        <v>0</v>
      </c>
      <c r="F45" s="91" t="b">
        <v>0</v>
      </c>
      <c r="G45" s="91" t="b">
        <v>0</v>
      </c>
    </row>
    <row r="46" spans="1:7" ht="15">
      <c r="A46" s="87" t="s">
        <v>248</v>
      </c>
      <c r="B46" s="91">
        <v>2</v>
      </c>
      <c r="C46" s="121">
        <v>0.004659800028906792</v>
      </c>
      <c r="D46" s="91" t="s">
        <v>723</v>
      </c>
      <c r="E46" s="91" t="b">
        <v>0</v>
      </c>
      <c r="F46" s="91" t="b">
        <v>0</v>
      </c>
      <c r="G46" s="91" t="b">
        <v>0</v>
      </c>
    </row>
    <row r="47" spans="1:7" ht="15">
      <c r="A47" s="87" t="s">
        <v>247</v>
      </c>
      <c r="B47" s="91">
        <v>2</v>
      </c>
      <c r="C47" s="121">
        <v>0.004659800028906792</v>
      </c>
      <c r="D47" s="91" t="s">
        <v>723</v>
      </c>
      <c r="E47" s="91" t="b">
        <v>0</v>
      </c>
      <c r="F47" s="91" t="b">
        <v>0</v>
      </c>
      <c r="G47" s="91" t="b">
        <v>0</v>
      </c>
    </row>
    <row r="48" spans="1:7" ht="15">
      <c r="A48" s="87" t="s">
        <v>238</v>
      </c>
      <c r="B48" s="91">
        <v>2</v>
      </c>
      <c r="C48" s="121">
        <v>0.004659800028906792</v>
      </c>
      <c r="D48" s="91" t="s">
        <v>723</v>
      </c>
      <c r="E48" s="91" t="b">
        <v>0</v>
      </c>
      <c r="F48" s="91" t="b">
        <v>0</v>
      </c>
      <c r="G48" s="91" t="b">
        <v>0</v>
      </c>
    </row>
    <row r="49" spans="1:7" ht="15">
      <c r="A49" s="87" t="s">
        <v>246</v>
      </c>
      <c r="B49" s="91">
        <v>2</v>
      </c>
      <c r="C49" s="121">
        <v>0.004659800028906792</v>
      </c>
      <c r="D49" s="91" t="s">
        <v>723</v>
      </c>
      <c r="E49" s="91" t="b">
        <v>0</v>
      </c>
      <c r="F49" s="91" t="b">
        <v>0</v>
      </c>
      <c r="G49" s="91" t="b">
        <v>0</v>
      </c>
    </row>
    <row r="50" spans="1:7" ht="15">
      <c r="A50" s="87" t="s">
        <v>245</v>
      </c>
      <c r="B50" s="91">
        <v>2</v>
      </c>
      <c r="C50" s="121">
        <v>0.004659800028906792</v>
      </c>
      <c r="D50" s="91" t="s">
        <v>723</v>
      </c>
      <c r="E50" s="91" t="b">
        <v>0</v>
      </c>
      <c r="F50" s="91" t="b">
        <v>0</v>
      </c>
      <c r="G50" s="91" t="b">
        <v>0</v>
      </c>
    </row>
    <row r="51" spans="1:7" ht="15">
      <c r="A51" s="87" t="s">
        <v>244</v>
      </c>
      <c r="B51" s="91">
        <v>2</v>
      </c>
      <c r="C51" s="121">
        <v>0.004659800028906792</v>
      </c>
      <c r="D51" s="91" t="s">
        <v>723</v>
      </c>
      <c r="E51" s="91" t="b">
        <v>0</v>
      </c>
      <c r="F51" s="91" t="b">
        <v>0</v>
      </c>
      <c r="G51" s="91" t="b">
        <v>0</v>
      </c>
    </row>
    <row r="52" spans="1:7" ht="15">
      <c r="A52" s="87" t="s">
        <v>688</v>
      </c>
      <c r="B52" s="91">
        <v>2</v>
      </c>
      <c r="C52" s="121">
        <v>0.004659800028906792</v>
      </c>
      <c r="D52" s="91" t="s">
        <v>723</v>
      </c>
      <c r="E52" s="91" t="b">
        <v>0</v>
      </c>
      <c r="F52" s="91" t="b">
        <v>0</v>
      </c>
      <c r="G52" s="91" t="b">
        <v>0</v>
      </c>
    </row>
    <row r="53" spans="1:7" ht="15">
      <c r="A53" s="87" t="s">
        <v>689</v>
      </c>
      <c r="B53" s="91">
        <v>2</v>
      </c>
      <c r="C53" s="121">
        <v>0.004659800028906792</v>
      </c>
      <c r="D53" s="91" t="s">
        <v>723</v>
      </c>
      <c r="E53" s="91" t="b">
        <v>0</v>
      </c>
      <c r="F53" s="91" t="b">
        <v>0</v>
      </c>
      <c r="G53" s="91" t="b">
        <v>0</v>
      </c>
    </row>
    <row r="54" spans="1:7" ht="15">
      <c r="A54" s="87" t="s">
        <v>690</v>
      </c>
      <c r="B54" s="91">
        <v>2</v>
      </c>
      <c r="C54" s="121">
        <v>0.004659800028906792</v>
      </c>
      <c r="D54" s="91" t="s">
        <v>723</v>
      </c>
      <c r="E54" s="91" t="b">
        <v>0</v>
      </c>
      <c r="F54" s="91" t="b">
        <v>0</v>
      </c>
      <c r="G54" s="91" t="b">
        <v>0</v>
      </c>
    </row>
    <row r="55" spans="1:7" ht="15">
      <c r="A55" s="87" t="s">
        <v>691</v>
      </c>
      <c r="B55" s="91">
        <v>2</v>
      </c>
      <c r="C55" s="121">
        <v>0.004659800028906792</v>
      </c>
      <c r="D55" s="91" t="s">
        <v>723</v>
      </c>
      <c r="E55" s="91" t="b">
        <v>0</v>
      </c>
      <c r="F55" s="91" t="b">
        <v>0</v>
      </c>
      <c r="G55" s="91" t="b">
        <v>0</v>
      </c>
    </row>
    <row r="56" spans="1:7" ht="15">
      <c r="A56" s="87" t="s">
        <v>692</v>
      </c>
      <c r="B56" s="91">
        <v>2</v>
      </c>
      <c r="C56" s="121">
        <v>0.004659800028906792</v>
      </c>
      <c r="D56" s="91" t="s">
        <v>723</v>
      </c>
      <c r="E56" s="91" t="b">
        <v>0</v>
      </c>
      <c r="F56" s="91" t="b">
        <v>0</v>
      </c>
      <c r="G56" s="91" t="b">
        <v>0</v>
      </c>
    </row>
    <row r="57" spans="1:7" ht="15">
      <c r="A57" s="87" t="s">
        <v>693</v>
      </c>
      <c r="B57" s="91">
        <v>2</v>
      </c>
      <c r="C57" s="121">
        <v>0.004659800028906792</v>
      </c>
      <c r="D57" s="91" t="s">
        <v>723</v>
      </c>
      <c r="E57" s="91" t="b">
        <v>0</v>
      </c>
      <c r="F57" s="91" t="b">
        <v>0</v>
      </c>
      <c r="G57" s="91" t="b">
        <v>0</v>
      </c>
    </row>
    <row r="58" spans="1:7" ht="15">
      <c r="A58" s="87" t="s">
        <v>694</v>
      </c>
      <c r="B58" s="91">
        <v>2</v>
      </c>
      <c r="C58" s="121">
        <v>0.004659800028906792</v>
      </c>
      <c r="D58" s="91" t="s">
        <v>723</v>
      </c>
      <c r="E58" s="91" t="b">
        <v>0</v>
      </c>
      <c r="F58" s="91" t="b">
        <v>0</v>
      </c>
      <c r="G58" s="91" t="b">
        <v>0</v>
      </c>
    </row>
    <row r="59" spans="1:7" ht="15">
      <c r="A59" s="87" t="s">
        <v>695</v>
      </c>
      <c r="B59" s="91">
        <v>2</v>
      </c>
      <c r="C59" s="121">
        <v>0.004659800028906792</v>
      </c>
      <c r="D59" s="91" t="s">
        <v>723</v>
      </c>
      <c r="E59" s="91" t="b">
        <v>0</v>
      </c>
      <c r="F59" s="91" t="b">
        <v>0</v>
      </c>
      <c r="G59" s="91" t="b">
        <v>0</v>
      </c>
    </row>
    <row r="60" spans="1:7" ht="15">
      <c r="A60" s="87" t="s">
        <v>696</v>
      </c>
      <c r="B60" s="91">
        <v>2</v>
      </c>
      <c r="C60" s="121">
        <v>0.004659800028906792</v>
      </c>
      <c r="D60" s="91" t="s">
        <v>723</v>
      </c>
      <c r="E60" s="91" t="b">
        <v>0</v>
      </c>
      <c r="F60" s="91" t="b">
        <v>0</v>
      </c>
      <c r="G60" s="91" t="b">
        <v>0</v>
      </c>
    </row>
    <row r="61" spans="1:7" ht="15">
      <c r="A61" s="87" t="s">
        <v>697</v>
      </c>
      <c r="B61" s="91">
        <v>2</v>
      </c>
      <c r="C61" s="121">
        <v>0.004659800028906792</v>
      </c>
      <c r="D61" s="91" t="s">
        <v>723</v>
      </c>
      <c r="E61" s="91" t="b">
        <v>0</v>
      </c>
      <c r="F61" s="91" t="b">
        <v>0</v>
      </c>
      <c r="G61" s="91" t="b">
        <v>0</v>
      </c>
    </row>
    <row r="62" spans="1:7" ht="15">
      <c r="A62" s="87" t="s">
        <v>698</v>
      </c>
      <c r="B62" s="91">
        <v>2</v>
      </c>
      <c r="C62" s="121">
        <v>0.004659800028906792</v>
      </c>
      <c r="D62" s="91" t="s">
        <v>723</v>
      </c>
      <c r="E62" s="91" t="b">
        <v>0</v>
      </c>
      <c r="F62" s="91" t="b">
        <v>0</v>
      </c>
      <c r="G62" s="91" t="b">
        <v>0</v>
      </c>
    </row>
    <row r="63" spans="1:7" ht="15">
      <c r="A63" s="87" t="s">
        <v>699</v>
      </c>
      <c r="B63" s="91">
        <v>2</v>
      </c>
      <c r="C63" s="121">
        <v>0.004659800028906792</v>
      </c>
      <c r="D63" s="91" t="s">
        <v>723</v>
      </c>
      <c r="E63" s="91" t="b">
        <v>0</v>
      </c>
      <c r="F63" s="91" t="b">
        <v>0</v>
      </c>
      <c r="G63" s="91" t="b">
        <v>0</v>
      </c>
    </row>
    <row r="64" spans="1:7" ht="15">
      <c r="A64" s="87" t="s">
        <v>700</v>
      </c>
      <c r="B64" s="91">
        <v>2</v>
      </c>
      <c r="C64" s="121">
        <v>0.004659800028906792</v>
      </c>
      <c r="D64" s="91" t="s">
        <v>723</v>
      </c>
      <c r="E64" s="91" t="b">
        <v>0</v>
      </c>
      <c r="F64" s="91" t="b">
        <v>0</v>
      </c>
      <c r="G64" s="91" t="b">
        <v>0</v>
      </c>
    </row>
    <row r="65" spans="1:7" ht="15">
      <c r="A65" s="87" t="s">
        <v>701</v>
      </c>
      <c r="B65" s="91">
        <v>2</v>
      </c>
      <c r="C65" s="121">
        <v>0.004659800028906792</v>
      </c>
      <c r="D65" s="91" t="s">
        <v>723</v>
      </c>
      <c r="E65" s="91" t="b">
        <v>0</v>
      </c>
      <c r="F65" s="91" t="b">
        <v>0</v>
      </c>
      <c r="G65" s="91" t="b">
        <v>0</v>
      </c>
    </row>
    <row r="66" spans="1:7" ht="15">
      <c r="A66" s="87" t="s">
        <v>702</v>
      </c>
      <c r="B66" s="91">
        <v>2</v>
      </c>
      <c r="C66" s="121">
        <v>0.004659800028906792</v>
      </c>
      <c r="D66" s="91" t="s">
        <v>723</v>
      </c>
      <c r="E66" s="91" t="b">
        <v>0</v>
      </c>
      <c r="F66" s="91" t="b">
        <v>0</v>
      </c>
      <c r="G66" s="91" t="b">
        <v>0</v>
      </c>
    </row>
    <row r="67" spans="1:7" ht="15">
      <c r="A67" s="87" t="s">
        <v>703</v>
      </c>
      <c r="B67" s="91">
        <v>2</v>
      </c>
      <c r="C67" s="121">
        <v>0.004659800028906792</v>
      </c>
      <c r="D67" s="91" t="s">
        <v>723</v>
      </c>
      <c r="E67" s="91" t="b">
        <v>0</v>
      </c>
      <c r="F67" s="91" t="b">
        <v>0</v>
      </c>
      <c r="G67" s="91" t="b">
        <v>0</v>
      </c>
    </row>
    <row r="68" spans="1:7" ht="15">
      <c r="A68" s="87" t="s">
        <v>704</v>
      </c>
      <c r="B68" s="91">
        <v>2</v>
      </c>
      <c r="C68" s="121">
        <v>0.004659800028906792</v>
      </c>
      <c r="D68" s="91" t="s">
        <v>723</v>
      </c>
      <c r="E68" s="91" t="b">
        <v>0</v>
      </c>
      <c r="F68" s="91" t="b">
        <v>1</v>
      </c>
      <c r="G68" s="91" t="b">
        <v>0</v>
      </c>
    </row>
    <row r="69" spans="1:7" ht="15">
      <c r="A69" s="87" t="s">
        <v>705</v>
      </c>
      <c r="B69" s="91">
        <v>2</v>
      </c>
      <c r="C69" s="121">
        <v>0.004659800028906792</v>
      </c>
      <c r="D69" s="91" t="s">
        <v>723</v>
      </c>
      <c r="E69" s="91" t="b">
        <v>0</v>
      </c>
      <c r="F69" s="91" t="b">
        <v>0</v>
      </c>
      <c r="G69" s="91" t="b">
        <v>0</v>
      </c>
    </row>
    <row r="70" spans="1:7" ht="15">
      <c r="A70" s="87" t="s">
        <v>706</v>
      </c>
      <c r="B70" s="91">
        <v>2</v>
      </c>
      <c r="C70" s="121">
        <v>0.004659800028906792</v>
      </c>
      <c r="D70" s="91" t="s">
        <v>723</v>
      </c>
      <c r="E70" s="91" t="b">
        <v>0</v>
      </c>
      <c r="F70" s="91" t="b">
        <v>0</v>
      </c>
      <c r="G70" s="91" t="b">
        <v>0</v>
      </c>
    </row>
    <row r="71" spans="1:7" ht="15">
      <c r="A71" s="87" t="s">
        <v>707</v>
      </c>
      <c r="B71" s="91">
        <v>2</v>
      </c>
      <c r="C71" s="121">
        <v>0.004659800028906792</v>
      </c>
      <c r="D71" s="91" t="s">
        <v>723</v>
      </c>
      <c r="E71" s="91" t="b">
        <v>0</v>
      </c>
      <c r="F71" s="91" t="b">
        <v>0</v>
      </c>
      <c r="G71" s="91" t="b">
        <v>0</v>
      </c>
    </row>
    <row r="72" spans="1:7" ht="15">
      <c r="A72" s="87" t="s">
        <v>708</v>
      </c>
      <c r="B72" s="91">
        <v>2</v>
      </c>
      <c r="C72" s="121">
        <v>0.004659800028906792</v>
      </c>
      <c r="D72" s="91" t="s">
        <v>723</v>
      </c>
      <c r="E72" s="91" t="b">
        <v>0</v>
      </c>
      <c r="F72" s="91" t="b">
        <v>0</v>
      </c>
      <c r="G72" s="91" t="b">
        <v>0</v>
      </c>
    </row>
    <row r="73" spans="1:7" ht="15">
      <c r="A73" s="87" t="s">
        <v>709</v>
      </c>
      <c r="B73" s="91">
        <v>2</v>
      </c>
      <c r="C73" s="121">
        <v>0.004659800028906792</v>
      </c>
      <c r="D73" s="91" t="s">
        <v>723</v>
      </c>
      <c r="E73" s="91" t="b">
        <v>0</v>
      </c>
      <c r="F73" s="91" t="b">
        <v>0</v>
      </c>
      <c r="G73" s="91" t="b">
        <v>0</v>
      </c>
    </row>
    <row r="74" spans="1:7" ht="15">
      <c r="A74" s="87" t="s">
        <v>710</v>
      </c>
      <c r="B74" s="91">
        <v>2</v>
      </c>
      <c r="C74" s="121">
        <v>0.004659800028906792</v>
      </c>
      <c r="D74" s="91" t="s">
        <v>723</v>
      </c>
      <c r="E74" s="91" t="b">
        <v>0</v>
      </c>
      <c r="F74" s="91" t="b">
        <v>0</v>
      </c>
      <c r="G74" s="91" t="b">
        <v>0</v>
      </c>
    </row>
    <row r="75" spans="1:7" ht="15">
      <c r="A75" s="87" t="s">
        <v>711</v>
      </c>
      <c r="B75" s="91">
        <v>2</v>
      </c>
      <c r="C75" s="121">
        <v>0.004659800028906792</v>
      </c>
      <c r="D75" s="91" t="s">
        <v>723</v>
      </c>
      <c r="E75" s="91" t="b">
        <v>0</v>
      </c>
      <c r="F75" s="91" t="b">
        <v>0</v>
      </c>
      <c r="G75" s="91" t="b">
        <v>0</v>
      </c>
    </row>
    <row r="76" spans="1:7" ht="15">
      <c r="A76" s="87" t="s">
        <v>712</v>
      </c>
      <c r="B76" s="91">
        <v>2</v>
      </c>
      <c r="C76" s="121">
        <v>0.004659800028906792</v>
      </c>
      <c r="D76" s="91" t="s">
        <v>723</v>
      </c>
      <c r="E76" s="91" t="b">
        <v>0</v>
      </c>
      <c r="F76" s="91" t="b">
        <v>0</v>
      </c>
      <c r="G76" s="91" t="b">
        <v>0</v>
      </c>
    </row>
    <row r="77" spans="1:7" ht="15">
      <c r="A77" s="87" t="s">
        <v>713</v>
      </c>
      <c r="B77" s="91">
        <v>2</v>
      </c>
      <c r="C77" s="121">
        <v>0.004659800028906792</v>
      </c>
      <c r="D77" s="91" t="s">
        <v>723</v>
      </c>
      <c r="E77" s="91" t="b">
        <v>0</v>
      </c>
      <c r="F77" s="91" t="b">
        <v>0</v>
      </c>
      <c r="G77" s="91" t="b">
        <v>0</v>
      </c>
    </row>
    <row r="78" spans="1:7" ht="15">
      <c r="A78" s="87" t="s">
        <v>714</v>
      </c>
      <c r="B78" s="91">
        <v>2</v>
      </c>
      <c r="C78" s="121">
        <v>0.004659800028906792</v>
      </c>
      <c r="D78" s="91" t="s">
        <v>723</v>
      </c>
      <c r="E78" s="91" t="b">
        <v>0</v>
      </c>
      <c r="F78" s="91" t="b">
        <v>0</v>
      </c>
      <c r="G78" s="91" t="b">
        <v>0</v>
      </c>
    </row>
    <row r="79" spans="1:7" ht="15">
      <c r="A79" s="87" t="s">
        <v>715</v>
      </c>
      <c r="B79" s="91">
        <v>2</v>
      </c>
      <c r="C79" s="121">
        <v>0.004659800028906792</v>
      </c>
      <c r="D79" s="91" t="s">
        <v>723</v>
      </c>
      <c r="E79" s="91" t="b">
        <v>0</v>
      </c>
      <c r="F79" s="91" t="b">
        <v>0</v>
      </c>
      <c r="G79" s="91" t="b">
        <v>0</v>
      </c>
    </row>
    <row r="80" spans="1:7" ht="15">
      <c r="A80" s="87" t="s">
        <v>716</v>
      </c>
      <c r="B80" s="91">
        <v>2</v>
      </c>
      <c r="C80" s="121">
        <v>0.004659800028906792</v>
      </c>
      <c r="D80" s="91" t="s">
        <v>723</v>
      </c>
      <c r="E80" s="91" t="b">
        <v>0</v>
      </c>
      <c r="F80" s="91" t="b">
        <v>0</v>
      </c>
      <c r="G80" s="91" t="b">
        <v>0</v>
      </c>
    </row>
    <row r="81" spans="1:7" ht="15">
      <c r="A81" s="87" t="s">
        <v>570</v>
      </c>
      <c r="B81" s="91">
        <v>2</v>
      </c>
      <c r="C81" s="121">
        <v>0.004659800028906792</v>
      </c>
      <c r="D81" s="91" t="s">
        <v>723</v>
      </c>
      <c r="E81" s="91" t="b">
        <v>0</v>
      </c>
      <c r="F81" s="91" t="b">
        <v>0</v>
      </c>
      <c r="G81" s="91" t="b">
        <v>0</v>
      </c>
    </row>
    <row r="82" spans="1:7" ht="15">
      <c r="A82" s="87" t="s">
        <v>717</v>
      </c>
      <c r="B82" s="91">
        <v>2</v>
      </c>
      <c r="C82" s="121">
        <v>0.004659800028906792</v>
      </c>
      <c r="D82" s="91" t="s">
        <v>723</v>
      </c>
      <c r="E82" s="91" t="b">
        <v>0</v>
      </c>
      <c r="F82" s="91" t="b">
        <v>0</v>
      </c>
      <c r="G82" s="91" t="b">
        <v>0</v>
      </c>
    </row>
    <row r="83" spans="1:7" ht="15">
      <c r="A83" s="87" t="s">
        <v>598</v>
      </c>
      <c r="B83" s="91">
        <v>2</v>
      </c>
      <c r="C83" s="121">
        <v>0.006666666666666667</v>
      </c>
      <c r="D83" s="91" t="s">
        <v>723</v>
      </c>
      <c r="E83" s="91" t="b">
        <v>0</v>
      </c>
      <c r="F83" s="91" t="b">
        <v>0</v>
      </c>
      <c r="G83" s="91" t="b">
        <v>0</v>
      </c>
    </row>
    <row r="84" spans="1:7" ht="15">
      <c r="A84" s="87" t="s">
        <v>593</v>
      </c>
      <c r="B84" s="91">
        <v>2</v>
      </c>
      <c r="C84" s="121">
        <v>0.006666666666666667</v>
      </c>
      <c r="D84" s="91" t="s">
        <v>723</v>
      </c>
      <c r="E84" s="91" t="b">
        <v>0</v>
      </c>
      <c r="F84" s="91" t="b">
        <v>0</v>
      </c>
      <c r="G84" s="91" t="b">
        <v>0</v>
      </c>
    </row>
    <row r="85" spans="1:7" ht="15">
      <c r="A85" s="87" t="s">
        <v>583</v>
      </c>
      <c r="B85" s="91">
        <v>6</v>
      </c>
      <c r="C85" s="121">
        <v>0</v>
      </c>
      <c r="D85" s="91" t="s">
        <v>527</v>
      </c>
      <c r="E85" s="91" t="b">
        <v>0</v>
      </c>
      <c r="F85" s="91" t="b">
        <v>0</v>
      </c>
      <c r="G85" s="91" t="b">
        <v>0</v>
      </c>
    </row>
    <row r="86" spans="1:7" ht="15">
      <c r="A86" s="87" t="s">
        <v>582</v>
      </c>
      <c r="B86" s="91">
        <v>6</v>
      </c>
      <c r="C86" s="121">
        <v>0</v>
      </c>
      <c r="D86" s="91" t="s">
        <v>527</v>
      </c>
      <c r="E86" s="91" t="b">
        <v>0</v>
      </c>
      <c r="F86" s="91" t="b">
        <v>0</v>
      </c>
      <c r="G86" s="91" t="b">
        <v>0</v>
      </c>
    </row>
    <row r="87" spans="1:7" ht="15">
      <c r="A87" s="87" t="s">
        <v>584</v>
      </c>
      <c r="B87" s="91">
        <v>4</v>
      </c>
      <c r="C87" s="121">
        <v>0</v>
      </c>
      <c r="D87" s="91" t="s">
        <v>527</v>
      </c>
      <c r="E87" s="91" t="b">
        <v>0</v>
      </c>
      <c r="F87" s="91" t="b">
        <v>0</v>
      </c>
      <c r="G87" s="91" t="b">
        <v>0</v>
      </c>
    </row>
    <row r="88" spans="1:7" ht="15">
      <c r="A88" s="87" t="s">
        <v>585</v>
      </c>
      <c r="B88" s="91">
        <v>4</v>
      </c>
      <c r="C88" s="121">
        <v>0</v>
      </c>
      <c r="D88" s="91" t="s">
        <v>527</v>
      </c>
      <c r="E88" s="91" t="b">
        <v>0</v>
      </c>
      <c r="F88" s="91" t="b">
        <v>0</v>
      </c>
      <c r="G88" s="91" t="b">
        <v>0</v>
      </c>
    </row>
    <row r="89" spans="1:7" ht="15">
      <c r="A89" s="87" t="s">
        <v>586</v>
      </c>
      <c r="B89" s="91">
        <v>4</v>
      </c>
      <c r="C89" s="121">
        <v>0</v>
      </c>
      <c r="D89" s="91" t="s">
        <v>527</v>
      </c>
      <c r="E89" s="91" t="b">
        <v>0</v>
      </c>
      <c r="F89" s="91" t="b">
        <v>0</v>
      </c>
      <c r="G89" s="91" t="b">
        <v>0</v>
      </c>
    </row>
    <row r="90" spans="1:7" ht="15">
      <c r="A90" s="87" t="s">
        <v>587</v>
      </c>
      <c r="B90" s="91">
        <v>4</v>
      </c>
      <c r="C90" s="121">
        <v>0</v>
      </c>
      <c r="D90" s="91" t="s">
        <v>527</v>
      </c>
      <c r="E90" s="91" t="b">
        <v>0</v>
      </c>
      <c r="F90" s="91" t="b">
        <v>0</v>
      </c>
      <c r="G90" s="91" t="b">
        <v>0</v>
      </c>
    </row>
    <row r="91" spans="1:7" ht="15">
      <c r="A91" s="87" t="s">
        <v>588</v>
      </c>
      <c r="B91" s="91">
        <v>4</v>
      </c>
      <c r="C91" s="121">
        <v>0</v>
      </c>
      <c r="D91" s="91" t="s">
        <v>527</v>
      </c>
      <c r="E91" s="91" t="b">
        <v>0</v>
      </c>
      <c r="F91" s="91" t="b">
        <v>0</v>
      </c>
      <c r="G91" s="91" t="b">
        <v>0</v>
      </c>
    </row>
    <row r="92" spans="1:7" ht="15">
      <c r="A92" s="87" t="s">
        <v>589</v>
      </c>
      <c r="B92" s="91">
        <v>4</v>
      </c>
      <c r="C92" s="121">
        <v>0</v>
      </c>
      <c r="D92" s="91" t="s">
        <v>527</v>
      </c>
      <c r="E92" s="91" t="b">
        <v>0</v>
      </c>
      <c r="F92" s="91" t="b">
        <v>0</v>
      </c>
      <c r="G92" s="91" t="b">
        <v>0</v>
      </c>
    </row>
    <row r="93" spans="1:7" ht="15">
      <c r="A93" s="87" t="s">
        <v>268</v>
      </c>
      <c r="B93" s="91">
        <v>2</v>
      </c>
      <c r="C93" s="121">
        <v>0</v>
      </c>
      <c r="D93" s="91" t="s">
        <v>527</v>
      </c>
      <c r="E93" s="91" t="b">
        <v>0</v>
      </c>
      <c r="F93" s="91" t="b">
        <v>0</v>
      </c>
      <c r="G93" s="91" t="b">
        <v>0</v>
      </c>
    </row>
    <row r="94" spans="1:7" ht="15">
      <c r="A94" s="87" t="s">
        <v>267</v>
      </c>
      <c r="B94" s="91">
        <v>2</v>
      </c>
      <c r="C94" s="121">
        <v>0</v>
      </c>
      <c r="D94" s="91" t="s">
        <v>527</v>
      </c>
      <c r="E94" s="91" t="b">
        <v>0</v>
      </c>
      <c r="F94" s="91" t="b">
        <v>0</v>
      </c>
      <c r="G94" s="91" t="b">
        <v>0</v>
      </c>
    </row>
    <row r="95" spans="1:7" ht="15">
      <c r="A95" s="87" t="s">
        <v>266</v>
      </c>
      <c r="B95" s="91">
        <v>2</v>
      </c>
      <c r="C95" s="121">
        <v>0</v>
      </c>
      <c r="D95" s="91" t="s">
        <v>527</v>
      </c>
      <c r="E95" s="91" t="b">
        <v>0</v>
      </c>
      <c r="F95" s="91" t="b">
        <v>0</v>
      </c>
      <c r="G95" s="91" t="b">
        <v>0</v>
      </c>
    </row>
    <row r="96" spans="1:7" ht="15">
      <c r="A96" s="87" t="s">
        <v>265</v>
      </c>
      <c r="B96" s="91">
        <v>2</v>
      </c>
      <c r="C96" s="121">
        <v>0</v>
      </c>
      <c r="D96" s="91" t="s">
        <v>527</v>
      </c>
      <c r="E96" s="91" t="b">
        <v>0</v>
      </c>
      <c r="F96" s="91" t="b">
        <v>0</v>
      </c>
      <c r="G96" s="91" t="b">
        <v>0</v>
      </c>
    </row>
    <row r="97" spans="1:7" ht="15">
      <c r="A97" s="87" t="s">
        <v>264</v>
      </c>
      <c r="B97" s="91">
        <v>2</v>
      </c>
      <c r="C97" s="121">
        <v>0</v>
      </c>
      <c r="D97" s="91" t="s">
        <v>527</v>
      </c>
      <c r="E97" s="91" t="b">
        <v>0</v>
      </c>
      <c r="F97" s="91" t="b">
        <v>0</v>
      </c>
      <c r="G97" s="91" t="b">
        <v>0</v>
      </c>
    </row>
    <row r="98" spans="1:7" ht="15">
      <c r="A98" s="87" t="s">
        <v>263</v>
      </c>
      <c r="B98" s="91">
        <v>2</v>
      </c>
      <c r="C98" s="121">
        <v>0</v>
      </c>
      <c r="D98" s="91" t="s">
        <v>527</v>
      </c>
      <c r="E98" s="91" t="b">
        <v>0</v>
      </c>
      <c r="F98" s="91" t="b">
        <v>0</v>
      </c>
      <c r="G98" s="91" t="b">
        <v>0</v>
      </c>
    </row>
    <row r="99" spans="1:7" ht="15">
      <c r="A99" s="87" t="s">
        <v>262</v>
      </c>
      <c r="B99" s="91">
        <v>2</v>
      </c>
      <c r="C99" s="121">
        <v>0</v>
      </c>
      <c r="D99" s="91" t="s">
        <v>527</v>
      </c>
      <c r="E99" s="91" t="b">
        <v>0</v>
      </c>
      <c r="F99" s="91" t="b">
        <v>0</v>
      </c>
      <c r="G99" s="91" t="b">
        <v>0</v>
      </c>
    </row>
    <row r="100" spans="1:7" ht="15">
      <c r="A100" s="87" t="s">
        <v>261</v>
      </c>
      <c r="B100" s="91">
        <v>2</v>
      </c>
      <c r="C100" s="121">
        <v>0</v>
      </c>
      <c r="D100" s="91" t="s">
        <v>527</v>
      </c>
      <c r="E100" s="91" t="b">
        <v>0</v>
      </c>
      <c r="F100" s="91" t="b">
        <v>0</v>
      </c>
      <c r="G100" s="91" t="b">
        <v>0</v>
      </c>
    </row>
    <row r="101" spans="1:7" ht="15">
      <c r="A101" s="87" t="s">
        <v>260</v>
      </c>
      <c r="B101" s="91">
        <v>2</v>
      </c>
      <c r="C101" s="121">
        <v>0</v>
      </c>
      <c r="D101" s="91" t="s">
        <v>527</v>
      </c>
      <c r="E101" s="91" t="b">
        <v>0</v>
      </c>
      <c r="F101" s="91" t="b">
        <v>0</v>
      </c>
      <c r="G101" s="91" t="b">
        <v>0</v>
      </c>
    </row>
    <row r="102" spans="1:7" ht="15">
      <c r="A102" s="87" t="s">
        <v>259</v>
      </c>
      <c r="B102" s="91">
        <v>2</v>
      </c>
      <c r="C102" s="121">
        <v>0</v>
      </c>
      <c r="D102" s="91" t="s">
        <v>527</v>
      </c>
      <c r="E102" s="91" t="b">
        <v>0</v>
      </c>
      <c r="F102" s="91" t="b">
        <v>0</v>
      </c>
      <c r="G102" s="91" t="b">
        <v>0</v>
      </c>
    </row>
    <row r="103" spans="1:7" ht="15">
      <c r="A103" s="87" t="s">
        <v>258</v>
      </c>
      <c r="B103" s="91">
        <v>2</v>
      </c>
      <c r="C103" s="121">
        <v>0</v>
      </c>
      <c r="D103" s="91" t="s">
        <v>527</v>
      </c>
      <c r="E103" s="91" t="b">
        <v>0</v>
      </c>
      <c r="F103" s="91" t="b">
        <v>0</v>
      </c>
      <c r="G103" s="91" t="b">
        <v>0</v>
      </c>
    </row>
    <row r="104" spans="1:7" ht="15">
      <c r="A104" s="87" t="s">
        <v>257</v>
      </c>
      <c r="B104" s="91">
        <v>2</v>
      </c>
      <c r="C104" s="121">
        <v>0</v>
      </c>
      <c r="D104" s="91" t="s">
        <v>527</v>
      </c>
      <c r="E104" s="91" t="b">
        <v>0</v>
      </c>
      <c r="F104" s="91" t="b">
        <v>0</v>
      </c>
      <c r="G104" s="91" t="b">
        <v>0</v>
      </c>
    </row>
    <row r="105" spans="1:7" ht="15">
      <c r="A105" s="87" t="s">
        <v>256</v>
      </c>
      <c r="B105" s="91">
        <v>2</v>
      </c>
      <c r="C105" s="121">
        <v>0</v>
      </c>
      <c r="D105" s="91" t="s">
        <v>527</v>
      </c>
      <c r="E105" s="91" t="b">
        <v>0</v>
      </c>
      <c r="F105" s="91" t="b">
        <v>0</v>
      </c>
      <c r="G105" s="91" t="b">
        <v>0</v>
      </c>
    </row>
    <row r="106" spans="1:7" ht="15">
      <c r="A106" s="87" t="s">
        <v>255</v>
      </c>
      <c r="B106" s="91">
        <v>2</v>
      </c>
      <c r="C106" s="121">
        <v>0</v>
      </c>
      <c r="D106" s="91" t="s">
        <v>527</v>
      </c>
      <c r="E106" s="91" t="b">
        <v>0</v>
      </c>
      <c r="F106" s="91" t="b">
        <v>0</v>
      </c>
      <c r="G106" s="91" t="b">
        <v>0</v>
      </c>
    </row>
    <row r="107" spans="1:7" ht="15">
      <c r="A107" s="87" t="s">
        <v>254</v>
      </c>
      <c r="B107" s="91">
        <v>2</v>
      </c>
      <c r="C107" s="121">
        <v>0</v>
      </c>
      <c r="D107" s="91" t="s">
        <v>527</v>
      </c>
      <c r="E107" s="91" t="b">
        <v>0</v>
      </c>
      <c r="F107" s="91" t="b">
        <v>0</v>
      </c>
      <c r="G107" s="91" t="b">
        <v>0</v>
      </c>
    </row>
    <row r="108" spans="1:7" ht="15">
      <c r="A108" s="87" t="s">
        <v>253</v>
      </c>
      <c r="B108" s="91">
        <v>2</v>
      </c>
      <c r="C108" s="121">
        <v>0</v>
      </c>
      <c r="D108" s="91" t="s">
        <v>527</v>
      </c>
      <c r="E108" s="91" t="b">
        <v>0</v>
      </c>
      <c r="F108" s="91" t="b">
        <v>0</v>
      </c>
      <c r="G108" s="91" t="b">
        <v>0</v>
      </c>
    </row>
    <row r="109" spans="1:7" ht="15">
      <c r="A109" s="87" t="s">
        <v>252</v>
      </c>
      <c r="B109" s="91">
        <v>2</v>
      </c>
      <c r="C109" s="121">
        <v>0</v>
      </c>
      <c r="D109" s="91" t="s">
        <v>527</v>
      </c>
      <c r="E109" s="91" t="b">
        <v>0</v>
      </c>
      <c r="F109" s="91" t="b">
        <v>0</v>
      </c>
      <c r="G109" s="91" t="b">
        <v>0</v>
      </c>
    </row>
    <row r="110" spans="1:7" ht="15">
      <c r="A110" s="87" t="s">
        <v>251</v>
      </c>
      <c r="B110" s="91">
        <v>2</v>
      </c>
      <c r="C110" s="121">
        <v>0</v>
      </c>
      <c r="D110" s="91" t="s">
        <v>527</v>
      </c>
      <c r="E110" s="91" t="b">
        <v>0</v>
      </c>
      <c r="F110" s="91" t="b">
        <v>0</v>
      </c>
      <c r="G110" s="91" t="b">
        <v>0</v>
      </c>
    </row>
    <row r="111" spans="1:7" ht="15">
      <c r="A111" s="87" t="s">
        <v>250</v>
      </c>
      <c r="B111" s="91">
        <v>2</v>
      </c>
      <c r="C111" s="121">
        <v>0</v>
      </c>
      <c r="D111" s="91" t="s">
        <v>527</v>
      </c>
      <c r="E111" s="91" t="b">
        <v>0</v>
      </c>
      <c r="F111" s="91" t="b">
        <v>0</v>
      </c>
      <c r="G111" s="91" t="b">
        <v>0</v>
      </c>
    </row>
    <row r="112" spans="1:7" ht="15">
      <c r="A112" s="87" t="s">
        <v>249</v>
      </c>
      <c r="B112" s="91">
        <v>2</v>
      </c>
      <c r="C112" s="121">
        <v>0</v>
      </c>
      <c r="D112" s="91" t="s">
        <v>527</v>
      </c>
      <c r="E112" s="91" t="b">
        <v>0</v>
      </c>
      <c r="F112" s="91" t="b">
        <v>0</v>
      </c>
      <c r="G112" s="91" t="b">
        <v>0</v>
      </c>
    </row>
    <row r="113" spans="1:7" ht="15">
      <c r="A113" s="87" t="s">
        <v>248</v>
      </c>
      <c r="B113" s="91">
        <v>2</v>
      </c>
      <c r="C113" s="121">
        <v>0</v>
      </c>
      <c r="D113" s="91" t="s">
        <v>527</v>
      </c>
      <c r="E113" s="91" t="b">
        <v>0</v>
      </c>
      <c r="F113" s="91" t="b">
        <v>0</v>
      </c>
      <c r="G113" s="91" t="b">
        <v>0</v>
      </c>
    </row>
    <row r="114" spans="1:7" ht="15">
      <c r="A114" s="87" t="s">
        <v>247</v>
      </c>
      <c r="B114" s="91">
        <v>2</v>
      </c>
      <c r="C114" s="121">
        <v>0</v>
      </c>
      <c r="D114" s="91" t="s">
        <v>527</v>
      </c>
      <c r="E114" s="91" t="b">
        <v>0</v>
      </c>
      <c r="F114" s="91" t="b">
        <v>0</v>
      </c>
      <c r="G114" s="91" t="b">
        <v>0</v>
      </c>
    </row>
    <row r="115" spans="1:7" ht="15">
      <c r="A115" s="87" t="s">
        <v>238</v>
      </c>
      <c r="B115" s="91">
        <v>2</v>
      </c>
      <c r="C115" s="121">
        <v>0</v>
      </c>
      <c r="D115" s="91" t="s">
        <v>527</v>
      </c>
      <c r="E115" s="91" t="b">
        <v>0</v>
      </c>
      <c r="F115" s="91" t="b">
        <v>0</v>
      </c>
      <c r="G115" s="91" t="b">
        <v>0</v>
      </c>
    </row>
    <row r="116" spans="1:7" ht="15">
      <c r="A116" s="87" t="s">
        <v>246</v>
      </c>
      <c r="B116" s="91">
        <v>2</v>
      </c>
      <c r="C116" s="121">
        <v>0</v>
      </c>
      <c r="D116" s="91" t="s">
        <v>527</v>
      </c>
      <c r="E116" s="91" t="b">
        <v>0</v>
      </c>
      <c r="F116" s="91" t="b">
        <v>0</v>
      </c>
      <c r="G116" s="91" t="b">
        <v>0</v>
      </c>
    </row>
    <row r="117" spans="1:7" ht="15">
      <c r="A117" s="87" t="s">
        <v>245</v>
      </c>
      <c r="B117" s="91">
        <v>2</v>
      </c>
      <c r="C117" s="121">
        <v>0</v>
      </c>
      <c r="D117" s="91" t="s">
        <v>527</v>
      </c>
      <c r="E117" s="91" t="b">
        <v>0</v>
      </c>
      <c r="F117" s="91" t="b">
        <v>0</v>
      </c>
      <c r="G117" s="91" t="b">
        <v>0</v>
      </c>
    </row>
    <row r="118" spans="1:7" ht="15">
      <c r="A118" s="87" t="s">
        <v>244</v>
      </c>
      <c r="B118" s="91">
        <v>2</v>
      </c>
      <c r="C118" s="121">
        <v>0</v>
      </c>
      <c r="D118" s="91" t="s">
        <v>527</v>
      </c>
      <c r="E118" s="91" t="b">
        <v>0</v>
      </c>
      <c r="F118" s="91" t="b">
        <v>0</v>
      </c>
      <c r="G118" s="91" t="b">
        <v>0</v>
      </c>
    </row>
    <row r="119" spans="1:7" ht="15">
      <c r="A119" s="87" t="s">
        <v>688</v>
      </c>
      <c r="B119" s="91">
        <v>2</v>
      </c>
      <c r="C119" s="121">
        <v>0</v>
      </c>
      <c r="D119" s="91" t="s">
        <v>527</v>
      </c>
      <c r="E119" s="91" t="b">
        <v>0</v>
      </c>
      <c r="F119" s="91" t="b">
        <v>0</v>
      </c>
      <c r="G119" s="91" t="b">
        <v>0</v>
      </c>
    </row>
    <row r="120" spans="1:7" ht="15">
      <c r="A120" s="87" t="s">
        <v>689</v>
      </c>
      <c r="B120" s="91">
        <v>2</v>
      </c>
      <c r="C120" s="121">
        <v>0</v>
      </c>
      <c r="D120" s="91" t="s">
        <v>527</v>
      </c>
      <c r="E120" s="91" t="b">
        <v>0</v>
      </c>
      <c r="F120" s="91" t="b">
        <v>0</v>
      </c>
      <c r="G120" s="91" t="b">
        <v>0</v>
      </c>
    </row>
    <row r="121" spans="1:7" ht="15">
      <c r="A121" s="87" t="s">
        <v>690</v>
      </c>
      <c r="B121" s="91">
        <v>2</v>
      </c>
      <c r="C121" s="121">
        <v>0</v>
      </c>
      <c r="D121" s="91" t="s">
        <v>527</v>
      </c>
      <c r="E121" s="91" t="b">
        <v>0</v>
      </c>
      <c r="F121" s="91" t="b">
        <v>0</v>
      </c>
      <c r="G121" s="91" t="b">
        <v>0</v>
      </c>
    </row>
    <row r="122" spans="1:7" ht="15">
      <c r="A122" s="87" t="s">
        <v>691</v>
      </c>
      <c r="B122" s="91">
        <v>2</v>
      </c>
      <c r="C122" s="121">
        <v>0</v>
      </c>
      <c r="D122" s="91" t="s">
        <v>527</v>
      </c>
      <c r="E122" s="91" t="b">
        <v>0</v>
      </c>
      <c r="F122" s="91" t="b">
        <v>0</v>
      </c>
      <c r="G122" s="91" t="b">
        <v>0</v>
      </c>
    </row>
    <row r="123" spans="1:7" ht="15">
      <c r="A123" s="87" t="s">
        <v>692</v>
      </c>
      <c r="B123" s="91">
        <v>2</v>
      </c>
      <c r="C123" s="121">
        <v>0</v>
      </c>
      <c r="D123" s="91" t="s">
        <v>527</v>
      </c>
      <c r="E123" s="91" t="b">
        <v>0</v>
      </c>
      <c r="F123" s="91" t="b">
        <v>0</v>
      </c>
      <c r="G123" s="91" t="b">
        <v>0</v>
      </c>
    </row>
    <row r="124" spans="1:7" ht="15">
      <c r="A124" s="87" t="s">
        <v>693</v>
      </c>
      <c r="B124" s="91">
        <v>2</v>
      </c>
      <c r="C124" s="121">
        <v>0</v>
      </c>
      <c r="D124" s="91" t="s">
        <v>527</v>
      </c>
      <c r="E124" s="91" t="b">
        <v>0</v>
      </c>
      <c r="F124" s="91" t="b">
        <v>0</v>
      </c>
      <c r="G124" s="91" t="b">
        <v>0</v>
      </c>
    </row>
    <row r="125" spans="1:7" ht="15">
      <c r="A125" s="87" t="s">
        <v>694</v>
      </c>
      <c r="B125" s="91">
        <v>2</v>
      </c>
      <c r="C125" s="121">
        <v>0</v>
      </c>
      <c r="D125" s="91" t="s">
        <v>527</v>
      </c>
      <c r="E125" s="91" t="b">
        <v>0</v>
      </c>
      <c r="F125" s="91" t="b">
        <v>0</v>
      </c>
      <c r="G125" s="91" t="b">
        <v>0</v>
      </c>
    </row>
    <row r="126" spans="1:7" ht="15">
      <c r="A126" s="87" t="s">
        <v>695</v>
      </c>
      <c r="B126" s="91">
        <v>2</v>
      </c>
      <c r="C126" s="121">
        <v>0</v>
      </c>
      <c r="D126" s="91" t="s">
        <v>527</v>
      </c>
      <c r="E126" s="91" t="b">
        <v>0</v>
      </c>
      <c r="F126" s="91" t="b">
        <v>0</v>
      </c>
      <c r="G126" s="91" t="b">
        <v>0</v>
      </c>
    </row>
    <row r="127" spans="1:7" ht="15">
      <c r="A127" s="87" t="s">
        <v>696</v>
      </c>
      <c r="B127" s="91">
        <v>2</v>
      </c>
      <c r="C127" s="121">
        <v>0</v>
      </c>
      <c r="D127" s="91" t="s">
        <v>527</v>
      </c>
      <c r="E127" s="91" t="b">
        <v>0</v>
      </c>
      <c r="F127" s="91" t="b">
        <v>0</v>
      </c>
      <c r="G127" s="91" t="b">
        <v>0</v>
      </c>
    </row>
    <row r="128" spans="1:7" ht="15">
      <c r="A128" s="87" t="s">
        <v>697</v>
      </c>
      <c r="B128" s="91">
        <v>2</v>
      </c>
      <c r="C128" s="121">
        <v>0</v>
      </c>
      <c r="D128" s="91" t="s">
        <v>527</v>
      </c>
      <c r="E128" s="91" t="b">
        <v>0</v>
      </c>
      <c r="F128" s="91" t="b">
        <v>0</v>
      </c>
      <c r="G128" s="91" t="b">
        <v>0</v>
      </c>
    </row>
    <row r="129" spans="1:7" ht="15">
      <c r="A129" s="87" t="s">
        <v>698</v>
      </c>
      <c r="B129" s="91">
        <v>2</v>
      </c>
      <c r="C129" s="121">
        <v>0</v>
      </c>
      <c r="D129" s="91" t="s">
        <v>527</v>
      </c>
      <c r="E129" s="91" t="b">
        <v>0</v>
      </c>
      <c r="F129" s="91" t="b">
        <v>0</v>
      </c>
      <c r="G129" s="91" t="b">
        <v>0</v>
      </c>
    </row>
    <row r="130" spans="1:7" ht="15">
      <c r="A130" s="87" t="s">
        <v>699</v>
      </c>
      <c r="B130" s="91">
        <v>2</v>
      </c>
      <c r="C130" s="121">
        <v>0</v>
      </c>
      <c r="D130" s="91" t="s">
        <v>527</v>
      </c>
      <c r="E130" s="91" t="b">
        <v>0</v>
      </c>
      <c r="F130" s="91" t="b">
        <v>0</v>
      </c>
      <c r="G130" s="91" t="b">
        <v>0</v>
      </c>
    </row>
    <row r="131" spans="1:7" ht="15">
      <c r="A131" s="87" t="s">
        <v>700</v>
      </c>
      <c r="B131" s="91">
        <v>2</v>
      </c>
      <c r="C131" s="121">
        <v>0</v>
      </c>
      <c r="D131" s="91" t="s">
        <v>527</v>
      </c>
      <c r="E131" s="91" t="b">
        <v>0</v>
      </c>
      <c r="F131" s="91" t="b">
        <v>0</v>
      </c>
      <c r="G131" s="91" t="b">
        <v>0</v>
      </c>
    </row>
    <row r="132" spans="1:7" ht="15">
      <c r="A132" s="87" t="s">
        <v>701</v>
      </c>
      <c r="B132" s="91">
        <v>2</v>
      </c>
      <c r="C132" s="121">
        <v>0</v>
      </c>
      <c r="D132" s="91" t="s">
        <v>527</v>
      </c>
      <c r="E132" s="91" t="b">
        <v>0</v>
      </c>
      <c r="F132" s="91" t="b">
        <v>0</v>
      </c>
      <c r="G132" s="91" t="b">
        <v>0</v>
      </c>
    </row>
    <row r="133" spans="1:7" ht="15">
      <c r="A133" s="87" t="s">
        <v>702</v>
      </c>
      <c r="B133" s="91">
        <v>2</v>
      </c>
      <c r="C133" s="121">
        <v>0</v>
      </c>
      <c r="D133" s="91" t="s">
        <v>527</v>
      </c>
      <c r="E133" s="91" t="b">
        <v>0</v>
      </c>
      <c r="F133" s="91" t="b">
        <v>0</v>
      </c>
      <c r="G133" s="91" t="b">
        <v>0</v>
      </c>
    </row>
    <row r="134" spans="1:7" ht="15">
      <c r="A134" s="87" t="s">
        <v>684</v>
      </c>
      <c r="B134" s="91">
        <v>2</v>
      </c>
      <c r="C134" s="121">
        <v>0</v>
      </c>
      <c r="D134" s="91" t="s">
        <v>527</v>
      </c>
      <c r="E134" s="91" t="b">
        <v>0</v>
      </c>
      <c r="F134" s="91" t="b">
        <v>0</v>
      </c>
      <c r="G134" s="91" t="b">
        <v>0</v>
      </c>
    </row>
    <row r="135" spans="1:7" ht="15">
      <c r="A135" s="87" t="s">
        <v>703</v>
      </c>
      <c r="B135" s="91">
        <v>2</v>
      </c>
      <c r="C135" s="121">
        <v>0</v>
      </c>
      <c r="D135" s="91" t="s">
        <v>527</v>
      </c>
      <c r="E135" s="91" t="b">
        <v>0</v>
      </c>
      <c r="F135" s="91" t="b">
        <v>0</v>
      </c>
      <c r="G135" s="91" t="b">
        <v>0</v>
      </c>
    </row>
    <row r="136" spans="1:7" ht="15">
      <c r="A136" s="87" t="s">
        <v>704</v>
      </c>
      <c r="B136" s="91">
        <v>2</v>
      </c>
      <c r="C136" s="121">
        <v>0</v>
      </c>
      <c r="D136" s="91" t="s">
        <v>527</v>
      </c>
      <c r="E136" s="91" t="b">
        <v>0</v>
      </c>
      <c r="F136" s="91" t="b">
        <v>1</v>
      </c>
      <c r="G136" s="91" t="b">
        <v>0</v>
      </c>
    </row>
    <row r="137" spans="1:7" ht="15">
      <c r="A137" s="87" t="s">
        <v>705</v>
      </c>
      <c r="B137" s="91">
        <v>2</v>
      </c>
      <c r="C137" s="121">
        <v>0</v>
      </c>
      <c r="D137" s="91" t="s">
        <v>527</v>
      </c>
      <c r="E137" s="91" t="b">
        <v>0</v>
      </c>
      <c r="F137" s="91" t="b">
        <v>0</v>
      </c>
      <c r="G137" s="91" t="b">
        <v>0</v>
      </c>
    </row>
    <row r="138" spans="1:7" ht="15">
      <c r="A138" s="87" t="s">
        <v>706</v>
      </c>
      <c r="B138" s="91">
        <v>2</v>
      </c>
      <c r="C138" s="121">
        <v>0</v>
      </c>
      <c r="D138" s="91" t="s">
        <v>527</v>
      </c>
      <c r="E138" s="91" t="b">
        <v>0</v>
      </c>
      <c r="F138" s="91" t="b">
        <v>0</v>
      </c>
      <c r="G138" s="91" t="b">
        <v>0</v>
      </c>
    </row>
    <row r="139" spans="1:7" ht="15">
      <c r="A139" s="87" t="s">
        <v>707</v>
      </c>
      <c r="B139" s="91">
        <v>2</v>
      </c>
      <c r="C139" s="121">
        <v>0</v>
      </c>
      <c r="D139" s="91" t="s">
        <v>527</v>
      </c>
      <c r="E139" s="91" t="b">
        <v>0</v>
      </c>
      <c r="F139" s="91" t="b">
        <v>0</v>
      </c>
      <c r="G139" s="91" t="b">
        <v>0</v>
      </c>
    </row>
    <row r="140" spans="1:7" ht="15">
      <c r="A140" s="87" t="s">
        <v>683</v>
      </c>
      <c r="B140" s="91">
        <v>2</v>
      </c>
      <c r="C140" s="121">
        <v>0</v>
      </c>
      <c r="D140" s="91" t="s">
        <v>527</v>
      </c>
      <c r="E140" s="91" t="b">
        <v>0</v>
      </c>
      <c r="F140" s="91" t="b">
        <v>0</v>
      </c>
      <c r="G140" s="91" t="b">
        <v>0</v>
      </c>
    </row>
    <row r="141" spans="1:7" ht="15">
      <c r="A141" s="87" t="s">
        <v>567</v>
      </c>
      <c r="B141" s="91">
        <v>2</v>
      </c>
      <c r="C141" s="121">
        <v>0</v>
      </c>
      <c r="D141" s="91" t="s">
        <v>527</v>
      </c>
      <c r="E141" s="91" t="b">
        <v>0</v>
      </c>
      <c r="F141" s="91" t="b">
        <v>0</v>
      </c>
      <c r="G141" s="91" t="b">
        <v>0</v>
      </c>
    </row>
    <row r="142" spans="1:7" ht="15">
      <c r="A142" s="87" t="s">
        <v>685</v>
      </c>
      <c r="B142" s="91">
        <v>2</v>
      </c>
      <c r="C142" s="121">
        <v>0</v>
      </c>
      <c r="D142" s="91" t="s">
        <v>527</v>
      </c>
      <c r="E142" s="91" t="b">
        <v>0</v>
      </c>
      <c r="F142" s="91" t="b">
        <v>0</v>
      </c>
      <c r="G142" s="91" t="b">
        <v>0</v>
      </c>
    </row>
    <row r="143" spans="1:7" ht="15">
      <c r="A143" s="87" t="s">
        <v>708</v>
      </c>
      <c r="B143" s="91">
        <v>2</v>
      </c>
      <c r="C143" s="121">
        <v>0</v>
      </c>
      <c r="D143" s="91" t="s">
        <v>527</v>
      </c>
      <c r="E143" s="91" t="b">
        <v>0</v>
      </c>
      <c r="F143" s="91" t="b">
        <v>0</v>
      </c>
      <c r="G143" s="91" t="b">
        <v>0</v>
      </c>
    </row>
    <row r="144" spans="1:7" ht="15">
      <c r="A144" s="87" t="s">
        <v>709</v>
      </c>
      <c r="B144" s="91">
        <v>2</v>
      </c>
      <c r="C144" s="121">
        <v>0</v>
      </c>
      <c r="D144" s="91" t="s">
        <v>527</v>
      </c>
      <c r="E144" s="91" t="b">
        <v>0</v>
      </c>
      <c r="F144" s="91" t="b">
        <v>0</v>
      </c>
      <c r="G144" s="91" t="b">
        <v>0</v>
      </c>
    </row>
    <row r="145" spans="1:7" ht="15">
      <c r="A145" s="87" t="s">
        <v>710</v>
      </c>
      <c r="B145" s="91">
        <v>2</v>
      </c>
      <c r="C145" s="121">
        <v>0</v>
      </c>
      <c r="D145" s="91" t="s">
        <v>527</v>
      </c>
      <c r="E145" s="91" t="b">
        <v>0</v>
      </c>
      <c r="F145" s="91" t="b">
        <v>0</v>
      </c>
      <c r="G145" s="91" t="b">
        <v>0</v>
      </c>
    </row>
    <row r="146" spans="1:7" ht="15">
      <c r="A146" s="87" t="s">
        <v>711</v>
      </c>
      <c r="B146" s="91">
        <v>2</v>
      </c>
      <c r="C146" s="121">
        <v>0</v>
      </c>
      <c r="D146" s="91" t="s">
        <v>527</v>
      </c>
      <c r="E146" s="91" t="b">
        <v>0</v>
      </c>
      <c r="F146" s="91" t="b">
        <v>0</v>
      </c>
      <c r="G146" s="91" t="b">
        <v>0</v>
      </c>
    </row>
    <row r="147" spans="1:7" ht="15">
      <c r="A147" s="87" t="s">
        <v>712</v>
      </c>
      <c r="B147" s="91">
        <v>2</v>
      </c>
      <c r="C147" s="121">
        <v>0</v>
      </c>
      <c r="D147" s="91" t="s">
        <v>527</v>
      </c>
      <c r="E147" s="91" t="b">
        <v>0</v>
      </c>
      <c r="F147" s="91" t="b">
        <v>0</v>
      </c>
      <c r="G147" s="91" t="b">
        <v>0</v>
      </c>
    </row>
    <row r="148" spans="1:7" ht="15">
      <c r="A148" s="87" t="s">
        <v>713</v>
      </c>
      <c r="B148" s="91">
        <v>2</v>
      </c>
      <c r="C148" s="121">
        <v>0</v>
      </c>
      <c r="D148" s="91" t="s">
        <v>527</v>
      </c>
      <c r="E148" s="91" t="b">
        <v>0</v>
      </c>
      <c r="F148" s="91" t="b">
        <v>0</v>
      </c>
      <c r="G148" s="91" t="b">
        <v>0</v>
      </c>
    </row>
    <row r="149" spans="1:7" ht="15">
      <c r="A149" s="87" t="s">
        <v>714</v>
      </c>
      <c r="B149" s="91">
        <v>2</v>
      </c>
      <c r="C149" s="121">
        <v>0</v>
      </c>
      <c r="D149" s="91" t="s">
        <v>527</v>
      </c>
      <c r="E149" s="91" t="b">
        <v>0</v>
      </c>
      <c r="F149" s="91" t="b">
        <v>0</v>
      </c>
      <c r="G149" s="91" t="b">
        <v>0</v>
      </c>
    </row>
    <row r="150" spans="1:7" ht="15">
      <c r="A150" s="87" t="s">
        <v>715</v>
      </c>
      <c r="B150" s="91">
        <v>2</v>
      </c>
      <c r="C150" s="121">
        <v>0</v>
      </c>
      <c r="D150" s="91" t="s">
        <v>527</v>
      </c>
      <c r="E150" s="91" t="b">
        <v>0</v>
      </c>
      <c r="F150" s="91" t="b">
        <v>0</v>
      </c>
      <c r="G150" s="91" t="b">
        <v>0</v>
      </c>
    </row>
    <row r="151" spans="1:7" ht="15">
      <c r="A151" s="87" t="s">
        <v>716</v>
      </c>
      <c r="B151" s="91">
        <v>2</v>
      </c>
      <c r="C151" s="121">
        <v>0</v>
      </c>
      <c r="D151" s="91" t="s">
        <v>527</v>
      </c>
      <c r="E151" s="91" t="b">
        <v>0</v>
      </c>
      <c r="F151" s="91" t="b">
        <v>0</v>
      </c>
      <c r="G151" s="91" t="b">
        <v>0</v>
      </c>
    </row>
    <row r="152" spans="1:7" ht="15">
      <c r="A152" s="87" t="s">
        <v>570</v>
      </c>
      <c r="B152" s="91">
        <v>2</v>
      </c>
      <c r="C152" s="121">
        <v>0</v>
      </c>
      <c r="D152" s="91" t="s">
        <v>527</v>
      </c>
      <c r="E152" s="91" t="b">
        <v>0</v>
      </c>
      <c r="F152" s="91" t="b">
        <v>0</v>
      </c>
      <c r="G152" s="91" t="b">
        <v>0</v>
      </c>
    </row>
    <row r="153" spans="1:7" ht="15">
      <c r="A153" s="87" t="s">
        <v>717</v>
      </c>
      <c r="B153" s="91">
        <v>2</v>
      </c>
      <c r="C153" s="121">
        <v>0</v>
      </c>
      <c r="D153" s="91" t="s">
        <v>527</v>
      </c>
      <c r="E153" s="91" t="b">
        <v>0</v>
      </c>
      <c r="F153" s="91" t="b">
        <v>0</v>
      </c>
      <c r="G153" s="91" t="b">
        <v>0</v>
      </c>
    </row>
    <row r="154" spans="1:7" ht="15">
      <c r="A154" s="87" t="s">
        <v>582</v>
      </c>
      <c r="B154" s="91">
        <v>6</v>
      </c>
      <c r="C154" s="121">
        <v>0</v>
      </c>
      <c r="D154" s="91" t="s">
        <v>528</v>
      </c>
      <c r="E154" s="91" t="b">
        <v>0</v>
      </c>
      <c r="F154" s="91" t="b">
        <v>0</v>
      </c>
      <c r="G154" s="91" t="b">
        <v>0</v>
      </c>
    </row>
    <row r="155" spans="1:7" ht="15">
      <c r="A155" s="87" t="s">
        <v>567</v>
      </c>
      <c r="B155" s="91">
        <v>5</v>
      </c>
      <c r="C155" s="121">
        <v>0</v>
      </c>
      <c r="D155" s="91" t="s">
        <v>528</v>
      </c>
      <c r="E155" s="91" t="b">
        <v>0</v>
      </c>
      <c r="F155" s="91" t="b">
        <v>0</v>
      </c>
      <c r="G155" s="91" t="b">
        <v>0</v>
      </c>
    </row>
    <row r="156" spans="1:7" ht="15">
      <c r="A156" s="87" t="s">
        <v>593</v>
      </c>
      <c r="B156" s="91">
        <v>2</v>
      </c>
      <c r="C156" s="121">
        <v>0.017695443147747313</v>
      </c>
      <c r="D156" s="91" t="s">
        <v>528</v>
      </c>
      <c r="E156" s="91" t="b">
        <v>0</v>
      </c>
      <c r="F156" s="91" t="b">
        <v>0</v>
      </c>
      <c r="G156" s="91" t="b">
        <v>0</v>
      </c>
    </row>
    <row r="157" spans="1:7" ht="15">
      <c r="A157" s="87" t="s">
        <v>595</v>
      </c>
      <c r="B157" s="91">
        <v>2</v>
      </c>
      <c r="C157" s="121">
        <v>0</v>
      </c>
      <c r="D157" s="91" t="s">
        <v>529</v>
      </c>
      <c r="E157" s="91" t="b">
        <v>1</v>
      </c>
      <c r="F157" s="91" t="b">
        <v>0</v>
      </c>
      <c r="G157" s="91" t="b">
        <v>0</v>
      </c>
    </row>
    <row r="158" spans="1:7" ht="15">
      <c r="A158" s="87" t="s">
        <v>590</v>
      </c>
      <c r="B158" s="91">
        <v>2</v>
      </c>
      <c r="C158" s="121">
        <v>0</v>
      </c>
      <c r="D158" s="91" t="s">
        <v>529</v>
      </c>
      <c r="E158" s="91" t="b">
        <v>0</v>
      </c>
      <c r="F158" s="91" t="b">
        <v>0</v>
      </c>
      <c r="G158" s="91" t="b">
        <v>0</v>
      </c>
    </row>
    <row r="159" spans="1:7" ht="15">
      <c r="A159" s="87" t="s">
        <v>598</v>
      </c>
      <c r="B159" s="91">
        <v>2</v>
      </c>
      <c r="C159" s="121">
        <v>0</v>
      </c>
      <c r="D159" s="91" t="s">
        <v>531</v>
      </c>
      <c r="E159" s="91" t="b">
        <v>0</v>
      </c>
      <c r="F159" s="91" t="b">
        <v>0</v>
      </c>
      <c r="G15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B98D3B2-3F0B-4CDB-8A2F-4199BAC697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2021-10-12T21:48:30Z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